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総務_広報\Share Data\04 ホームページ\01 HP更新\2021年度\21.12.13未来ちゃんアグリネットの障害について\"/>
    </mc:Choice>
  </mc:AlternateContent>
  <bookViews>
    <workbookView xWindow="0" yWindow="0" windowWidth="20490" windowHeight="7530" tabRatio="729" activeTab="3"/>
  </bookViews>
  <sheets>
    <sheet name="いちご" sheetId="2" r:id="rId1"/>
    <sheet name="ナス" sheetId="3" r:id="rId2"/>
    <sheet name="トマト" sheetId="4" r:id="rId3"/>
    <sheet name="メロン" sheetId="5" r:id="rId4"/>
    <sheet name="ニラ" sheetId="6" r:id="rId5"/>
    <sheet name="春菊" sheetId="10" r:id="rId6"/>
    <sheet name="梨" sheetId="7" r:id="rId7"/>
    <sheet name="玉ねぎ" sheetId="8" r:id="rId8"/>
    <sheet name="ブロッコリー" sheetId="9" r:id="rId9"/>
    <sheet name="レタス" sheetId="11" r:id="rId10"/>
    <sheet name="花" sheetId="13" r:id="rId11"/>
    <sheet name="椎茸" sheetId="12" r:id="rId12"/>
  </sheets>
  <definedNames>
    <definedName name="_xlnm._FilterDatabase" localSheetId="10" hidden="1">花!$A$13:$R$13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3" l="1"/>
  <c r="E54" i="13"/>
  <c r="E53" i="13"/>
  <c r="E49" i="13"/>
  <c r="E159" i="13"/>
  <c r="E42" i="13"/>
  <c r="E41" i="13"/>
  <c r="E40" i="13"/>
  <c r="E36" i="13"/>
  <c r="E30" i="13"/>
  <c r="E29" i="13"/>
  <c r="E27" i="13"/>
  <c r="E26" i="13"/>
  <c r="E20" i="13"/>
  <c r="E17" i="13"/>
  <c r="E16" i="13"/>
  <c r="E67" i="13"/>
  <c r="E66" i="13"/>
  <c r="E63" i="13"/>
  <c r="Q186" i="13"/>
  <c r="Q187" i="13"/>
  <c r="Q185" i="13"/>
  <c r="Q184" i="13"/>
  <c r="Q183" i="13"/>
  <c r="Q182" i="13"/>
  <c r="Q181" i="13"/>
  <c r="Q97" i="13"/>
  <c r="Q118" i="13"/>
  <c r="Q117" i="13"/>
  <c r="Q116" i="13"/>
  <c r="Q88" i="13"/>
  <c r="Q78" i="13"/>
  <c r="Q148" i="13"/>
  <c r="Q42" i="13"/>
  <c r="Q41" i="13"/>
  <c r="Q40" i="13"/>
  <c r="Q37" i="13"/>
  <c r="Q36" i="13"/>
  <c r="Q112" i="13"/>
  <c r="Q34" i="13"/>
  <c r="Q33" i="13"/>
  <c r="Q32" i="13"/>
  <c r="Q137" i="13"/>
  <c r="Q129" i="13"/>
  <c r="Q128" i="13"/>
  <c r="Q132" i="13"/>
  <c r="Q25" i="13"/>
  <c r="Q24" i="13"/>
  <c r="Q75" i="13"/>
  <c r="Q74" i="13"/>
  <c r="Q72" i="13"/>
  <c r="Q71" i="13"/>
  <c r="Q125" i="13"/>
  <c r="Q124" i="13"/>
  <c r="Q64" i="13"/>
  <c r="Q63" i="13"/>
  <c r="Q152" i="13"/>
  <c r="Q93" i="13"/>
  <c r="Q92" i="13"/>
  <c r="Q113" i="13"/>
  <c r="Q87" i="13"/>
  <c r="Q149" i="13"/>
  <c r="Q144" i="13"/>
  <c r="Q44" i="13"/>
  <c r="Q111" i="13"/>
  <c r="Q134" i="13"/>
  <c r="Q133" i="13"/>
  <c r="Q131" i="13"/>
  <c r="Q23" i="13"/>
  <c r="Q76" i="13"/>
  <c r="Q106" i="13"/>
  <c r="Q104" i="13" l="1"/>
  <c r="Q103" i="13"/>
  <c r="Q82" i="13"/>
  <c r="Q146" i="13"/>
  <c r="Q145" i="13"/>
  <c r="Q6" i="13"/>
  <c r="Q5" i="13"/>
  <c r="Q4" i="13"/>
  <c r="N119" i="13"/>
  <c r="N117" i="13"/>
  <c r="N116" i="13"/>
  <c r="N92" i="13"/>
  <c r="N91" i="13"/>
  <c r="N113" i="13"/>
  <c r="N89" i="13"/>
  <c r="N88" i="13"/>
  <c r="N77" i="13"/>
  <c r="N44" i="13"/>
  <c r="N42" i="13"/>
  <c r="N41" i="13"/>
  <c r="N40" i="13"/>
  <c r="N36" i="13"/>
  <c r="N111" i="13"/>
  <c r="N110" i="13"/>
  <c r="N33" i="13"/>
  <c r="N32" i="13"/>
  <c r="N128" i="13"/>
  <c r="N127" i="13"/>
  <c r="N108" i="13"/>
  <c r="N25" i="13"/>
  <c r="N24" i="13"/>
  <c r="N23" i="13"/>
  <c r="N76" i="13"/>
  <c r="N75" i="13"/>
  <c r="N71" i="13"/>
  <c r="N70" i="13"/>
  <c r="N104" i="13"/>
  <c r="N103" i="13"/>
  <c r="N102" i="13"/>
  <c r="N97" i="13"/>
  <c r="N96" i="13"/>
  <c r="N82" i="13"/>
  <c r="N81" i="13"/>
  <c r="N122" i="13"/>
  <c r="N6" i="13"/>
  <c r="N5" i="13"/>
  <c r="N4" i="13"/>
  <c r="L97" i="13"/>
  <c r="L96" i="13"/>
  <c r="L95" i="13"/>
  <c r="L41" i="13"/>
  <c r="L40" i="13"/>
  <c r="L110" i="13"/>
  <c r="L32" i="13"/>
  <c r="L100" i="13"/>
  <c r="L99" i="13"/>
  <c r="L24" i="13"/>
  <c r="L23" i="13" l="1"/>
  <c r="L81" i="13"/>
  <c r="L124" i="13"/>
  <c r="L14" i="13"/>
  <c r="L64" i="13"/>
  <c r="L63" i="13"/>
  <c r="L116" i="13"/>
  <c r="L91" i="13"/>
  <c r="L88" i="13" l="1"/>
  <c r="L87" i="13"/>
  <c r="L34" i="13"/>
  <c r="L75" i="13"/>
  <c r="L74" i="13"/>
  <c r="L102" i="13"/>
  <c r="L82" i="13"/>
  <c r="J52" i="13"/>
  <c r="J51" i="13"/>
  <c r="J87" i="13"/>
  <c r="J44" i="13"/>
  <c r="J42" i="13"/>
  <c r="J41" i="13"/>
  <c r="J33" i="13"/>
  <c r="J32" i="13"/>
  <c r="J23" i="13"/>
  <c r="J74" i="13"/>
  <c r="J81" i="13"/>
  <c r="J80" i="13"/>
  <c r="J63" i="13"/>
  <c r="J96" i="13"/>
  <c r="G51" i="13" l="1"/>
  <c r="G20" i="13" l="1"/>
  <c r="G21" i="13"/>
</calcChain>
</file>

<file path=xl/sharedStrings.xml><?xml version="1.0" encoding="utf-8"?>
<sst xmlns="http://schemas.openxmlformats.org/spreadsheetml/2006/main" count="1015" uniqueCount="331">
  <si>
    <t>等階級</t>
    <rPh sb="0" eb="1">
      <t>トウ</t>
    </rPh>
    <rPh sb="1" eb="3">
      <t>カイキュウ</t>
    </rPh>
    <phoneticPr fontId="1"/>
  </si>
  <si>
    <t>量目</t>
    <rPh sb="0" eb="2">
      <t>リョウモク</t>
    </rPh>
    <phoneticPr fontId="1"/>
  </si>
  <si>
    <t>荷姿</t>
    <rPh sb="0" eb="2">
      <t>ニスガタ</t>
    </rPh>
    <phoneticPr fontId="1"/>
  </si>
  <si>
    <t>2L</t>
    <phoneticPr fontId="1"/>
  </si>
  <si>
    <t>M</t>
    <phoneticPr fontId="1"/>
  </si>
  <si>
    <t>S</t>
    <phoneticPr fontId="1"/>
  </si>
  <si>
    <t>B</t>
    <phoneticPr fontId="1"/>
  </si>
  <si>
    <t>ﾏﾙA</t>
    <phoneticPr fontId="1"/>
  </si>
  <si>
    <t>2A</t>
    <phoneticPr fontId="1"/>
  </si>
  <si>
    <t>ﾏﾙｶ</t>
    <phoneticPr fontId="1"/>
  </si>
  <si>
    <t>260ｇ</t>
  </si>
  <si>
    <t>260ｇ</t>
    <phoneticPr fontId="1"/>
  </si>
  <si>
    <t>ﾊﾟｯｸ</t>
    <phoneticPr fontId="1"/>
  </si>
  <si>
    <t>A</t>
    <phoneticPr fontId="1"/>
  </si>
  <si>
    <t>ﾊﾟｯｸ</t>
    <phoneticPr fontId="1"/>
  </si>
  <si>
    <t>Ｌ</t>
    <phoneticPr fontId="1"/>
  </si>
  <si>
    <t>ﾊｸﾝＧ</t>
    <phoneticPr fontId="1"/>
  </si>
  <si>
    <t>260ｇ</t>
    <phoneticPr fontId="1"/>
  </si>
  <si>
    <t>なす</t>
    <phoneticPr fontId="1"/>
  </si>
  <si>
    <t>Ａ</t>
    <phoneticPr fontId="1"/>
  </si>
  <si>
    <t>ＢＬ</t>
    <phoneticPr fontId="1"/>
  </si>
  <si>
    <t>ＢＭ</t>
    <phoneticPr fontId="1"/>
  </si>
  <si>
    <t>ＢＳ</t>
    <phoneticPr fontId="1"/>
  </si>
  <si>
    <t>Ｄ2Ｌ</t>
    <phoneticPr fontId="1"/>
  </si>
  <si>
    <t>ＤＬ</t>
    <phoneticPr fontId="1"/>
  </si>
  <si>
    <t>ＤＭ</t>
    <phoneticPr fontId="1"/>
  </si>
  <si>
    <t>ＤＳ</t>
    <phoneticPr fontId="1"/>
  </si>
  <si>
    <t>ｷｶｸｶﾞｲ</t>
    <phoneticPr fontId="1"/>
  </si>
  <si>
    <t>5㎏</t>
  </si>
  <si>
    <t>5㎏</t>
    <phoneticPr fontId="1"/>
  </si>
  <si>
    <t>ＤＢ</t>
    <phoneticPr fontId="1"/>
  </si>
  <si>
    <t>ＤＢ</t>
    <phoneticPr fontId="1"/>
  </si>
  <si>
    <t>ハウスなす</t>
    <phoneticPr fontId="1"/>
  </si>
  <si>
    <t>Ａ2Ｌ</t>
    <phoneticPr fontId="1"/>
  </si>
  <si>
    <t>Ａ2Ｌ</t>
    <phoneticPr fontId="1"/>
  </si>
  <si>
    <t>ＡＬ</t>
    <phoneticPr fontId="1"/>
  </si>
  <si>
    <t>ＡＭ</t>
    <phoneticPr fontId="1"/>
  </si>
  <si>
    <t>Ｂ2Ｌ</t>
    <phoneticPr fontId="1"/>
  </si>
  <si>
    <t>ＢＭ</t>
    <phoneticPr fontId="1"/>
  </si>
  <si>
    <t>ＢＭ</t>
    <phoneticPr fontId="1"/>
  </si>
  <si>
    <t>ＣＬ</t>
    <phoneticPr fontId="1"/>
  </si>
  <si>
    <t>ＤＬ</t>
    <phoneticPr fontId="1"/>
  </si>
  <si>
    <t>ｷｶｸｶﾞｲ</t>
    <phoneticPr fontId="1"/>
  </si>
  <si>
    <t>ｷｶｸｶﾞｲ</t>
    <phoneticPr fontId="1"/>
  </si>
  <si>
    <t>夏秋なす</t>
    <rPh sb="0" eb="2">
      <t>カシュウ</t>
    </rPh>
    <phoneticPr fontId="1"/>
  </si>
  <si>
    <t>Ａ</t>
    <phoneticPr fontId="1"/>
  </si>
  <si>
    <t>ＤＬ</t>
    <phoneticPr fontId="1"/>
  </si>
  <si>
    <t>ＤＭ</t>
    <phoneticPr fontId="1"/>
  </si>
  <si>
    <t>ｷｶｸｶﾞｲ</t>
    <phoneticPr fontId="1"/>
  </si>
  <si>
    <t>長なす</t>
    <rPh sb="0" eb="1">
      <t>ナガ</t>
    </rPh>
    <phoneticPr fontId="1"/>
  </si>
  <si>
    <t>Ａ2Ｌ</t>
    <phoneticPr fontId="1"/>
  </si>
  <si>
    <t>Ａ2Ｌ</t>
    <phoneticPr fontId="1"/>
  </si>
  <si>
    <t>Ｂ2Ｌ</t>
    <phoneticPr fontId="1"/>
  </si>
  <si>
    <t>ＢＬ</t>
    <phoneticPr fontId="1"/>
  </si>
  <si>
    <t>ＣＭ</t>
    <phoneticPr fontId="1"/>
  </si>
  <si>
    <t>5㎏</t>
    <phoneticPr fontId="1"/>
  </si>
  <si>
    <t>5㎏</t>
    <phoneticPr fontId="1"/>
  </si>
  <si>
    <t>350ｇ</t>
    <phoneticPr fontId="1"/>
  </si>
  <si>
    <t>350ｇ</t>
    <phoneticPr fontId="1"/>
  </si>
  <si>
    <t>350ｇ</t>
    <phoneticPr fontId="1"/>
  </si>
  <si>
    <t>10㎏</t>
    <phoneticPr fontId="1"/>
  </si>
  <si>
    <t>ＤＢ</t>
    <phoneticPr fontId="1"/>
  </si>
  <si>
    <t>ｺﾝﾃﾅ</t>
    <phoneticPr fontId="1"/>
  </si>
  <si>
    <t>ＤＢ</t>
    <phoneticPr fontId="1"/>
  </si>
  <si>
    <t>ﾅｼ</t>
    <phoneticPr fontId="1"/>
  </si>
  <si>
    <t>ﾌｸﾛ</t>
    <phoneticPr fontId="1"/>
  </si>
  <si>
    <t>ＤＢ</t>
    <phoneticPr fontId="1"/>
  </si>
  <si>
    <t>ＤＢ</t>
    <phoneticPr fontId="1"/>
  </si>
  <si>
    <t>ﾌｸﾛ</t>
    <phoneticPr fontId="1"/>
  </si>
  <si>
    <t>400ｇ</t>
    <phoneticPr fontId="1"/>
  </si>
  <si>
    <t>400ｇ</t>
    <phoneticPr fontId="1"/>
  </si>
  <si>
    <t>400ｇ</t>
    <phoneticPr fontId="1"/>
  </si>
  <si>
    <t>10㎏</t>
    <phoneticPr fontId="1"/>
  </si>
  <si>
    <t>ﾌｸﾛ</t>
    <phoneticPr fontId="1"/>
  </si>
  <si>
    <t>ＤＢ</t>
    <phoneticPr fontId="1"/>
  </si>
  <si>
    <t>10㎏</t>
    <phoneticPr fontId="1"/>
  </si>
  <si>
    <t>350ｇ</t>
    <phoneticPr fontId="1"/>
  </si>
  <si>
    <t>8㎏</t>
    <phoneticPr fontId="1"/>
  </si>
  <si>
    <t>8㎏</t>
    <phoneticPr fontId="1"/>
  </si>
  <si>
    <t>ﾌｸﾛ</t>
    <phoneticPr fontId="1"/>
  </si>
  <si>
    <t>ｲﾌｺ</t>
    <phoneticPr fontId="1"/>
  </si>
  <si>
    <t>ﾌｸﾛ</t>
    <phoneticPr fontId="1"/>
  </si>
  <si>
    <t>ＤＢ</t>
    <phoneticPr fontId="1"/>
  </si>
  <si>
    <t>麗容</t>
    <rPh sb="0" eb="1">
      <t>レイ</t>
    </rPh>
    <phoneticPr fontId="1"/>
  </si>
  <si>
    <t>2Ｌ</t>
    <phoneticPr fontId="1"/>
  </si>
  <si>
    <t>Ａ2Ｌ</t>
    <phoneticPr fontId="1"/>
  </si>
  <si>
    <t>ＡＬ</t>
    <phoneticPr fontId="1"/>
  </si>
  <si>
    <t>ＡＭ</t>
    <phoneticPr fontId="1"/>
  </si>
  <si>
    <t>ＡＳ</t>
    <phoneticPr fontId="1"/>
  </si>
  <si>
    <t>Ａ2Ｓ</t>
    <phoneticPr fontId="1"/>
  </si>
  <si>
    <t>Ａ3Ｓ</t>
    <phoneticPr fontId="1"/>
  </si>
  <si>
    <t>Ｂ3Ｌ</t>
    <phoneticPr fontId="1"/>
  </si>
  <si>
    <t>Ｂ2Ｌ</t>
    <phoneticPr fontId="1"/>
  </si>
  <si>
    <t>ＢＬ</t>
    <phoneticPr fontId="1"/>
  </si>
  <si>
    <t>ＢＬ</t>
    <phoneticPr fontId="1"/>
  </si>
  <si>
    <t>ＢＭ</t>
    <phoneticPr fontId="1"/>
  </si>
  <si>
    <t>ＢＳ</t>
    <phoneticPr fontId="1"/>
  </si>
  <si>
    <t>Ｂ2Ｓ</t>
    <phoneticPr fontId="1"/>
  </si>
  <si>
    <t>Ｂ3Ｓ</t>
    <phoneticPr fontId="1"/>
  </si>
  <si>
    <t>Ｃ2Ｌ</t>
    <phoneticPr fontId="1"/>
  </si>
  <si>
    <t>Ｂ4Ｓ</t>
    <phoneticPr fontId="1"/>
  </si>
  <si>
    <t>4㎏</t>
  </si>
  <si>
    <t>4㎏</t>
    <phoneticPr fontId="1"/>
  </si>
  <si>
    <t>500ｇ</t>
    <phoneticPr fontId="1"/>
  </si>
  <si>
    <t>500ｇ</t>
    <phoneticPr fontId="1"/>
  </si>
  <si>
    <t>500ｇ</t>
    <phoneticPr fontId="1"/>
  </si>
  <si>
    <t>500ｇ</t>
    <phoneticPr fontId="1"/>
  </si>
  <si>
    <t>500ｇ</t>
    <phoneticPr fontId="1"/>
  </si>
  <si>
    <t>ＤＢ</t>
    <phoneticPr fontId="1"/>
  </si>
  <si>
    <t>ＤＢ</t>
    <phoneticPr fontId="1"/>
  </si>
  <si>
    <t>ﾌｸﾛ</t>
    <phoneticPr fontId="1"/>
  </si>
  <si>
    <t>ＤＢ</t>
    <phoneticPr fontId="1"/>
  </si>
  <si>
    <t>ﾌｸﾛ</t>
    <phoneticPr fontId="1"/>
  </si>
  <si>
    <t>にら</t>
    <phoneticPr fontId="1"/>
  </si>
  <si>
    <t>Ｌ</t>
    <phoneticPr fontId="1"/>
  </si>
  <si>
    <t>ＡＬ</t>
    <phoneticPr fontId="1"/>
  </si>
  <si>
    <t>ＦＧＡ</t>
    <phoneticPr fontId="1"/>
  </si>
  <si>
    <t>4㎏</t>
    <phoneticPr fontId="1"/>
  </si>
  <si>
    <t>4㎏</t>
    <phoneticPr fontId="1"/>
  </si>
  <si>
    <t>ＤＢ</t>
    <phoneticPr fontId="1"/>
  </si>
  <si>
    <t>ＤＢ</t>
    <phoneticPr fontId="1"/>
  </si>
  <si>
    <t>ＡＬ</t>
    <phoneticPr fontId="1"/>
  </si>
  <si>
    <t>150ｇ</t>
    <phoneticPr fontId="1"/>
  </si>
  <si>
    <t>150ｇ</t>
    <phoneticPr fontId="1"/>
  </si>
  <si>
    <t>ﾌｸﾛ</t>
    <phoneticPr fontId="1"/>
  </si>
  <si>
    <t>春菊</t>
    <rPh sb="0" eb="2">
      <t>シュンギク</t>
    </rPh>
    <phoneticPr fontId="1"/>
  </si>
  <si>
    <t>ブロッコリー</t>
    <phoneticPr fontId="1"/>
  </si>
  <si>
    <t>5㎏</t>
    <phoneticPr fontId="1"/>
  </si>
  <si>
    <t>ｺﾝﾃﾅ</t>
    <phoneticPr fontId="1"/>
  </si>
  <si>
    <t>レタス</t>
    <phoneticPr fontId="1"/>
  </si>
  <si>
    <t>キク</t>
    <phoneticPr fontId="1"/>
  </si>
  <si>
    <t>入数</t>
    <rPh sb="0" eb="2">
      <t>イリスウ</t>
    </rPh>
    <phoneticPr fontId="1"/>
  </si>
  <si>
    <t>品種</t>
    <rPh sb="0" eb="1">
      <t>ヒン</t>
    </rPh>
    <rPh sb="1" eb="2">
      <t>シュ</t>
    </rPh>
    <phoneticPr fontId="1"/>
  </si>
  <si>
    <t>10/12</t>
  </si>
  <si>
    <t>10/12</t>
    <phoneticPr fontId="1"/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</si>
  <si>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</si>
  <si>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</si>
  <si>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</si>
  <si>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</si>
  <si>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</si>
  <si>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</si>
  <si>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</si>
  <si>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</si>
  <si>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</si>
  <si>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</si>
  <si>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</si>
  <si>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</si>
  <si>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</si>
  <si>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ＡM</t>
    <phoneticPr fontId="1"/>
  </si>
  <si>
    <t>Ａ2Ｌ</t>
    <phoneticPr fontId="1"/>
  </si>
  <si>
    <t>ＦＧＢ</t>
    <phoneticPr fontId="1"/>
  </si>
  <si>
    <t>にっこり</t>
    <phoneticPr fontId="1"/>
  </si>
  <si>
    <t>Ａ4</t>
    <phoneticPr fontId="1"/>
  </si>
  <si>
    <t>5㎏</t>
    <phoneticPr fontId="1"/>
  </si>
  <si>
    <t>ＤＢ</t>
    <phoneticPr fontId="1"/>
  </si>
  <si>
    <t>Ｂ4</t>
    <phoneticPr fontId="1"/>
  </si>
  <si>
    <t>Ａ5</t>
    <phoneticPr fontId="1"/>
  </si>
  <si>
    <t>Ｂ5</t>
    <phoneticPr fontId="1"/>
  </si>
  <si>
    <t>Ａ6</t>
  </si>
  <si>
    <t>Ｂ6</t>
  </si>
  <si>
    <t>Ａ7</t>
  </si>
  <si>
    <t>Ｂ7</t>
  </si>
  <si>
    <t>Ａ8</t>
  </si>
  <si>
    <t>Ｂ8</t>
  </si>
  <si>
    <t>Ａ9</t>
  </si>
  <si>
    <t>Ｂ9</t>
  </si>
  <si>
    <t>5㎏</t>
    <phoneticPr fontId="1"/>
  </si>
  <si>
    <t>Ａ10</t>
    <phoneticPr fontId="1"/>
  </si>
  <si>
    <t>Ｂ10</t>
    <phoneticPr fontId="1"/>
  </si>
  <si>
    <t>Ａ12</t>
    <phoneticPr fontId="1"/>
  </si>
  <si>
    <t>Ｂ12</t>
    <phoneticPr fontId="1"/>
  </si>
  <si>
    <t>Ａ14</t>
    <phoneticPr fontId="1"/>
  </si>
  <si>
    <t>Ｂ14</t>
    <phoneticPr fontId="1"/>
  </si>
  <si>
    <t>Ａ20</t>
    <phoneticPr fontId="1"/>
  </si>
  <si>
    <t>Ｂ20</t>
    <phoneticPr fontId="1"/>
  </si>
  <si>
    <t>Ａ24</t>
    <phoneticPr fontId="1"/>
  </si>
  <si>
    <t>Ｂ24</t>
    <phoneticPr fontId="1"/>
  </si>
  <si>
    <t>Ａ28</t>
    <phoneticPr fontId="1"/>
  </si>
  <si>
    <t>Ｂ28</t>
    <phoneticPr fontId="1"/>
  </si>
  <si>
    <t>10㎏</t>
  </si>
  <si>
    <t>10㎏</t>
    <phoneticPr fontId="1"/>
  </si>
  <si>
    <t>ＤＢ</t>
    <phoneticPr fontId="1"/>
  </si>
  <si>
    <t>10㎏</t>
    <phoneticPr fontId="1"/>
  </si>
  <si>
    <t>Ａ9高糖度</t>
    <rPh sb="2" eb="5">
      <t>コウトウド</t>
    </rPh>
    <phoneticPr fontId="1"/>
  </si>
  <si>
    <t>5㎏</t>
    <phoneticPr fontId="1"/>
  </si>
  <si>
    <t>ＤＢ</t>
    <phoneticPr fontId="1"/>
  </si>
  <si>
    <t>規格外</t>
    <rPh sb="0" eb="3">
      <t>キカクガイ</t>
    </rPh>
    <phoneticPr fontId="1"/>
  </si>
  <si>
    <t>2.5㎏</t>
    <phoneticPr fontId="1"/>
  </si>
  <si>
    <t>ﾌｸﾛ</t>
    <phoneticPr fontId="1"/>
  </si>
  <si>
    <t>Ａ4</t>
    <phoneticPr fontId="1"/>
  </si>
  <si>
    <t>2㎏</t>
    <phoneticPr fontId="1"/>
  </si>
  <si>
    <t>箱</t>
    <rPh sb="0" eb="1">
      <t>ハコ</t>
    </rPh>
    <phoneticPr fontId="1"/>
  </si>
  <si>
    <t>アールスメロン</t>
    <phoneticPr fontId="1"/>
  </si>
  <si>
    <t>Ａ4Ｌ</t>
    <phoneticPr fontId="1"/>
  </si>
  <si>
    <t>Ａ3Ｌ</t>
    <phoneticPr fontId="1"/>
  </si>
  <si>
    <t>Ａ2Ｌ</t>
    <phoneticPr fontId="1"/>
  </si>
  <si>
    <t>Ｂ4Ｌ</t>
    <phoneticPr fontId="1"/>
  </si>
  <si>
    <t>Ｂ3Ｌ</t>
    <phoneticPr fontId="1"/>
  </si>
  <si>
    <t>Ｂ2Ｌ</t>
    <phoneticPr fontId="1"/>
  </si>
  <si>
    <t>Ｃ4Ｌ</t>
    <phoneticPr fontId="1"/>
  </si>
  <si>
    <t>Ｃ3Ｌ</t>
    <phoneticPr fontId="1"/>
  </si>
  <si>
    <t>8㎏</t>
  </si>
  <si>
    <t>8㎏</t>
    <phoneticPr fontId="1"/>
  </si>
  <si>
    <t>ＤＢ</t>
    <phoneticPr fontId="1"/>
  </si>
  <si>
    <t>8㎏</t>
    <phoneticPr fontId="1"/>
  </si>
  <si>
    <t>ＡＬ</t>
    <phoneticPr fontId="1"/>
  </si>
  <si>
    <t>ＣＬ</t>
    <phoneticPr fontId="1"/>
  </si>
  <si>
    <t>Ｂ2Ｌ</t>
    <phoneticPr fontId="1"/>
  </si>
  <si>
    <t>Ａ2Ｌ</t>
    <phoneticPr fontId="1"/>
  </si>
  <si>
    <t>ＡＬ</t>
    <phoneticPr fontId="1"/>
  </si>
  <si>
    <t>ＡＭ</t>
    <phoneticPr fontId="1"/>
  </si>
  <si>
    <t>ＡＳ</t>
    <phoneticPr fontId="1"/>
  </si>
  <si>
    <t>Ｄｶﾞｲ</t>
    <phoneticPr fontId="1"/>
  </si>
  <si>
    <t>Ｂ2Ｌ</t>
    <phoneticPr fontId="1"/>
  </si>
  <si>
    <t>ＢＭ</t>
    <phoneticPr fontId="1"/>
  </si>
  <si>
    <t>5㎏</t>
    <phoneticPr fontId="1"/>
  </si>
  <si>
    <t>ＡＬ</t>
    <phoneticPr fontId="1"/>
  </si>
  <si>
    <t>ＡＬ</t>
    <phoneticPr fontId="1"/>
  </si>
  <si>
    <t>4㎏</t>
    <phoneticPr fontId="1"/>
  </si>
  <si>
    <t>ＤＢ</t>
    <phoneticPr fontId="1"/>
  </si>
  <si>
    <t>ＡＭ</t>
    <phoneticPr fontId="1"/>
  </si>
  <si>
    <t>4㎏</t>
    <phoneticPr fontId="1"/>
  </si>
  <si>
    <t>10㎏</t>
    <phoneticPr fontId="1"/>
  </si>
  <si>
    <t>ＡＬ</t>
    <phoneticPr fontId="1"/>
  </si>
  <si>
    <t>400ｇ</t>
    <phoneticPr fontId="1"/>
  </si>
  <si>
    <t>ＡＭ</t>
    <phoneticPr fontId="1"/>
  </si>
  <si>
    <t>ＢＬ</t>
    <phoneticPr fontId="1"/>
  </si>
  <si>
    <t>玉ねぎ</t>
    <rPh sb="0" eb="1">
      <t>タマ</t>
    </rPh>
    <phoneticPr fontId="1"/>
  </si>
  <si>
    <t>椎茸</t>
    <rPh sb="0" eb="2">
      <t>シイタケ</t>
    </rPh>
    <phoneticPr fontId="1"/>
  </si>
  <si>
    <t>出荷なし</t>
    <rPh sb="0" eb="2">
      <t>シュッカ</t>
    </rPh>
    <phoneticPr fontId="1"/>
  </si>
  <si>
    <t>平箱</t>
    <rPh sb="0" eb="1">
      <t>ヒラ</t>
    </rPh>
    <rPh sb="1" eb="2">
      <t>バコ</t>
    </rPh>
    <phoneticPr fontId="1"/>
  </si>
  <si>
    <t>ＡＬ</t>
    <phoneticPr fontId="1"/>
  </si>
  <si>
    <t>精の光彩</t>
    <rPh sb="0" eb="1">
      <t>セイ</t>
    </rPh>
    <rPh sb="2" eb="4">
      <t>コウサイ</t>
    </rPh>
    <phoneticPr fontId="1"/>
  </si>
  <si>
    <t>秀2L</t>
    <rPh sb="0" eb="1">
      <t>シュウ</t>
    </rPh>
    <phoneticPr fontId="1"/>
  </si>
  <si>
    <t>精の一世</t>
    <rPh sb="0" eb="1">
      <t>セイ</t>
    </rPh>
    <rPh sb="2" eb="4">
      <t>イッセ</t>
    </rPh>
    <phoneticPr fontId="1"/>
  </si>
  <si>
    <t>秀3L</t>
    <rPh sb="0" eb="1">
      <t>シュウ</t>
    </rPh>
    <phoneticPr fontId="1"/>
  </si>
  <si>
    <t>秀L</t>
    <rPh sb="0" eb="1">
      <t>シュウ</t>
    </rPh>
    <phoneticPr fontId="1"/>
  </si>
  <si>
    <t>キクスプレー</t>
    <phoneticPr fontId="1"/>
  </si>
  <si>
    <t>Ｊ・ラーガ</t>
    <phoneticPr fontId="1"/>
  </si>
  <si>
    <t>秀Ｍ</t>
    <rPh sb="0" eb="1">
      <t>シュウ</t>
    </rPh>
    <phoneticPr fontId="1"/>
  </si>
  <si>
    <t>リポルペールＯ</t>
    <phoneticPr fontId="1"/>
  </si>
  <si>
    <t>秀2Ｌ</t>
    <rPh sb="0" eb="1">
      <t>シュウ</t>
    </rPh>
    <phoneticPr fontId="1"/>
  </si>
  <si>
    <t>リポルペールＯ</t>
    <phoneticPr fontId="1"/>
  </si>
  <si>
    <t>秀Ｌ</t>
    <rPh sb="0" eb="1">
      <t>シュウ</t>
    </rPh>
    <phoneticPr fontId="1"/>
  </si>
  <si>
    <t>リポルホットＰ</t>
    <phoneticPr fontId="1"/>
  </si>
  <si>
    <t>セイフレイ</t>
    <phoneticPr fontId="1"/>
  </si>
  <si>
    <t>セイリポルレモン</t>
    <phoneticPr fontId="1"/>
  </si>
  <si>
    <t>セイレウカ</t>
    <phoneticPr fontId="1"/>
  </si>
  <si>
    <t>セイメリタ</t>
    <phoneticPr fontId="1"/>
  </si>
  <si>
    <t>レミダス</t>
    <phoneticPr fontId="1"/>
  </si>
  <si>
    <t>レミダス</t>
    <phoneticPr fontId="1"/>
  </si>
  <si>
    <t>レミダス</t>
    <phoneticPr fontId="1"/>
  </si>
  <si>
    <t>アンサンブルマム</t>
    <phoneticPr fontId="1"/>
  </si>
  <si>
    <t>セイアイシスＰ</t>
    <phoneticPr fontId="1"/>
  </si>
  <si>
    <t>セイリムー</t>
    <phoneticPr fontId="1"/>
  </si>
  <si>
    <t>セイイレンダ</t>
    <phoneticPr fontId="1"/>
  </si>
  <si>
    <t>ふわり</t>
    <phoneticPr fontId="1"/>
  </si>
  <si>
    <t>セイコレット</t>
    <phoneticPr fontId="1"/>
  </si>
  <si>
    <t>セイアイシスＷ</t>
    <phoneticPr fontId="1"/>
  </si>
  <si>
    <t>ポンパドール</t>
    <phoneticPr fontId="1"/>
  </si>
  <si>
    <t>セイエルナ</t>
    <phoneticPr fontId="1"/>
  </si>
  <si>
    <t>セイヨーク</t>
    <phoneticPr fontId="1"/>
  </si>
  <si>
    <t>サバ</t>
    <phoneticPr fontId="1"/>
  </si>
  <si>
    <t>秀Ｌ</t>
    <rPh sb="0" eb="1">
      <t>シュウ</t>
    </rPh>
    <phoneticPr fontId="1"/>
  </si>
  <si>
    <t>秀Ｍ</t>
    <rPh sb="0" eb="1">
      <t>シュウ</t>
    </rPh>
    <phoneticPr fontId="1"/>
  </si>
  <si>
    <t>コギク</t>
    <phoneticPr fontId="1"/>
  </si>
  <si>
    <t>精あやにしき赤</t>
    <rPh sb="0" eb="1">
      <t>セイ</t>
    </rPh>
    <rPh sb="6" eb="7">
      <t>アカ</t>
    </rPh>
    <phoneticPr fontId="1"/>
  </si>
  <si>
    <t>秀2</t>
    <rPh sb="0" eb="1">
      <t>シュウ</t>
    </rPh>
    <phoneticPr fontId="1"/>
  </si>
  <si>
    <t>優2</t>
    <rPh sb="0" eb="1">
      <t>ユウ</t>
    </rPh>
    <phoneticPr fontId="1"/>
  </si>
  <si>
    <t>優Ｌ</t>
    <rPh sb="0" eb="1">
      <t>ユウ</t>
    </rPh>
    <phoneticPr fontId="1"/>
  </si>
  <si>
    <t>優Ｍ</t>
    <rPh sb="0" eb="1">
      <t>ユウ</t>
    </rPh>
    <phoneticPr fontId="1"/>
  </si>
  <si>
    <t>セイパレット</t>
    <phoneticPr fontId="1"/>
  </si>
  <si>
    <t>秀2Ｌ</t>
    <rPh sb="0" eb="1">
      <t>シュウ</t>
    </rPh>
    <phoneticPr fontId="1"/>
  </si>
  <si>
    <t>秀Ｌ</t>
    <rPh sb="0" eb="1">
      <t>シュウ</t>
    </rPh>
    <phoneticPr fontId="1"/>
  </si>
  <si>
    <t>セイヒラリー</t>
    <phoneticPr fontId="1"/>
  </si>
  <si>
    <t>アマルフィ</t>
    <phoneticPr fontId="1"/>
  </si>
  <si>
    <t>ミレーナ</t>
    <phoneticPr fontId="1"/>
  </si>
  <si>
    <t>秀Ｓ</t>
    <rPh sb="0" eb="1">
      <t>シュウ</t>
    </rPh>
    <phoneticPr fontId="1"/>
  </si>
  <si>
    <t>大ほたる黄</t>
    <rPh sb="0" eb="1">
      <t>ダイ</t>
    </rPh>
    <rPh sb="4" eb="5">
      <t>キ</t>
    </rPh>
    <phoneticPr fontId="1"/>
  </si>
  <si>
    <t>優2Ｌ</t>
    <rPh sb="0" eb="1">
      <t>ユウ</t>
    </rPh>
    <phoneticPr fontId="1"/>
  </si>
  <si>
    <t>Ｂ</t>
    <phoneticPr fontId="1"/>
  </si>
  <si>
    <t>セイマニサ</t>
    <phoneticPr fontId="1"/>
  </si>
  <si>
    <t>オンシア</t>
    <phoneticPr fontId="1"/>
  </si>
  <si>
    <t>セイエスター</t>
    <phoneticPr fontId="1"/>
  </si>
  <si>
    <t>セイピサ</t>
    <phoneticPr fontId="1"/>
  </si>
  <si>
    <t>セイオペラピンク</t>
    <phoneticPr fontId="1"/>
  </si>
  <si>
    <t>エンゼルハート</t>
    <phoneticPr fontId="1"/>
  </si>
  <si>
    <t>バニティ</t>
    <phoneticPr fontId="1"/>
  </si>
  <si>
    <t>セイフォリア</t>
    <phoneticPr fontId="1"/>
  </si>
  <si>
    <t>セイルフレ</t>
    <phoneticPr fontId="1"/>
  </si>
  <si>
    <t>ゼナイエロー</t>
    <phoneticPr fontId="1"/>
  </si>
  <si>
    <t>ジャマイカ</t>
    <phoneticPr fontId="1"/>
  </si>
  <si>
    <t>ルナピンク</t>
    <phoneticPr fontId="1"/>
  </si>
  <si>
    <t>秀2Ｌ</t>
    <rPh sb="0" eb="1">
      <t>シュウ</t>
    </rPh>
    <phoneticPr fontId="1"/>
  </si>
  <si>
    <t>ジャマイカ</t>
    <phoneticPr fontId="1"/>
  </si>
  <si>
    <t>秀Ｌ</t>
    <rPh sb="0" eb="1">
      <t>シュウ</t>
    </rPh>
    <phoneticPr fontId="1"/>
  </si>
  <si>
    <t>セイリミニ</t>
    <phoneticPr fontId="1"/>
  </si>
  <si>
    <t>Ｙ・ストライク</t>
    <phoneticPr fontId="1"/>
  </si>
  <si>
    <t>ディスコクラブ</t>
    <phoneticPr fontId="1"/>
  </si>
  <si>
    <t>シャボン</t>
    <phoneticPr fontId="1"/>
  </si>
  <si>
    <t>コロン</t>
    <phoneticPr fontId="1"/>
  </si>
  <si>
    <t>セレブレイトＡ</t>
    <phoneticPr fontId="1"/>
  </si>
  <si>
    <t>秀Ｍ</t>
    <rPh sb="0" eb="1">
      <t>シュウ</t>
    </rPh>
    <phoneticPr fontId="1"/>
  </si>
  <si>
    <t>ロック</t>
    <phoneticPr fontId="1"/>
  </si>
  <si>
    <t>ほたる黄</t>
    <rPh sb="3" eb="4">
      <t>キ</t>
    </rPh>
    <phoneticPr fontId="1"/>
  </si>
  <si>
    <t>優Ｌ</t>
    <rPh sb="0" eb="1">
      <t>ユウ</t>
    </rPh>
    <phoneticPr fontId="1"/>
  </si>
  <si>
    <t>優Ｍ</t>
    <rPh sb="0" eb="1">
      <t>ユウ</t>
    </rPh>
    <phoneticPr fontId="1"/>
  </si>
  <si>
    <t>シータ</t>
    <phoneticPr fontId="1"/>
  </si>
  <si>
    <t>シータ</t>
    <phoneticPr fontId="1"/>
  </si>
  <si>
    <t>セイピサ</t>
    <phoneticPr fontId="1"/>
  </si>
  <si>
    <t>秀Ｌ</t>
    <rPh sb="0" eb="1">
      <t>シュウ</t>
    </rPh>
    <phoneticPr fontId="1"/>
  </si>
  <si>
    <t>セイクローク</t>
    <phoneticPr fontId="1"/>
  </si>
  <si>
    <t>秀2Ｌ</t>
    <rPh sb="0" eb="1">
      <t>シュウ</t>
    </rPh>
    <phoneticPr fontId="1"/>
  </si>
  <si>
    <t>セイガデス</t>
    <phoneticPr fontId="1"/>
  </si>
  <si>
    <t>セイマヨール</t>
    <phoneticPr fontId="1"/>
  </si>
  <si>
    <t>秀Ｍ</t>
    <rPh sb="0" eb="1">
      <t>シュウ</t>
    </rPh>
    <phoneticPr fontId="1"/>
  </si>
  <si>
    <t>秀Ｓ</t>
    <rPh sb="0" eb="1">
      <t>シュウ</t>
    </rPh>
    <phoneticPr fontId="1"/>
  </si>
  <si>
    <t>バルティカライム</t>
    <phoneticPr fontId="1"/>
  </si>
  <si>
    <t>セイバーニング</t>
    <phoneticPr fontId="1"/>
  </si>
  <si>
    <t>ディスバッド</t>
    <phoneticPr fontId="1"/>
  </si>
  <si>
    <t>セイオペラ</t>
    <phoneticPr fontId="1"/>
  </si>
  <si>
    <t>ツィール</t>
    <phoneticPr fontId="1"/>
  </si>
  <si>
    <t>カブレラ</t>
    <phoneticPr fontId="1"/>
  </si>
  <si>
    <t>オペラピンク</t>
    <phoneticPr fontId="1"/>
  </si>
  <si>
    <t>ワッツアップ</t>
    <phoneticPr fontId="1"/>
  </si>
  <si>
    <t>セイパミエ</t>
    <phoneticPr fontId="1"/>
  </si>
  <si>
    <t>セイパミエ</t>
    <phoneticPr fontId="1"/>
  </si>
  <si>
    <t>デスバットＭＩＸ</t>
    <phoneticPr fontId="1"/>
  </si>
  <si>
    <t>セイエルチェ</t>
    <phoneticPr fontId="1"/>
  </si>
  <si>
    <t>セイリポル</t>
    <phoneticPr fontId="1"/>
  </si>
  <si>
    <t>とちおとめ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</si>
</sst>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56" fontId="0" fillId="0" borderId="1" xfId="0" quotePrefix="1" applyNumberFormat="1" applyBorder="1">
      <alignment vertical="center"/>
    </xf>
    <xf numFmtId="38" fontId="0" fillId="0" borderId="1" xfId="1" applyFont="1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38" fontId="0" fillId="0" borderId="1" xfId="1" quotePrefix="1" applyFont="1" applyBorder="1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/>
  </sheetViews>
  <sheetFormatPr defaultRowHeight="18.75" x14ac:dyDescent="0.4"/>
  <cols>
    <col min="4" max="4" width="9.25" bestFit="1" customWidth="1"/>
  </cols>
  <sheetData>
    <row r="1" spans="1:17" x14ac:dyDescent="0.4">
      <c r="A1" s="8" t="s">
        <v>330</v>
      </c>
    </row>
    <row r="2" spans="1:17" x14ac:dyDescent="0.4">
      <c r="A2" s="2" t="s">
        <v>0</v>
      </c>
      <c r="B2" s="2" t="s">
        <v>1</v>
      </c>
      <c r="C2" s="2" t="s">
        <v>2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  <c r="L2" s="3" t="s">
        <v>142</v>
      </c>
      <c r="M2" s="3" t="s">
        <v>143</v>
      </c>
      <c r="N2" s="3" t="s">
        <v>144</v>
      </c>
      <c r="O2" s="3" t="s">
        <v>145</v>
      </c>
      <c r="P2" s="3" t="s">
        <v>146</v>
      </c>
      <c r="Q2" s="3" t="s">
        <v>147</v>
      </c>
    </row>
    <row r="3" spans="1:17" x14ac:dyDescent="0.4">
      <c r="A3" s="2" t="s">
        <v>3</v>
      </c>
      <c r="B3" s="2" t="s">
        <v>11</v>
      </c>
      <c r="C3" s="2" t="s">
        <v>14</v>
      </c>
      <c r="D3" s="4"/>
      <c r="E3" s="4"/>
      <c r="F3" s="4"/>
      <c r="G3" s="4"/>
      <c r="H3" s="4">
        <v>6200</v>
      </c>
      <c r="I3" s="4"/>
      <c r="J3" s="4">
        <v>1300</v>
      </c>
      <c r="K3" s="4">
        <v>1300</v>
      </c>
      <c r="L3" s="4"/>
      <c r="M3" s="4">
        <v>1000</v>
      </c>
      <c r="N3" s="4">
        <v>1000</v>
      </c>
      <c r="O3" s="4">
        <v>1000</v>
      </c>
      <c r="P3" s="4"/>
      <c r="Q3" s="4">
        <v>1000</v>
      </c>
    </row>
    <row r="4" spans="1:17" x14ac:dyDescent="0.4">
      <c r="A4" s="2" t="s">
        <v>15</v>
      </c>
      <c r="B4" s="2" t="s">
        <v>11</v>
      </c>
      <c r="C4" s="2" t="s">
        <v>12</v>
      </c>
      <c r="D4" s="4"/>
      <c r="E4" s="4"/>
      <c r="F4" s="4"/>
      <c r="G4" s="4"/>
      <c r="H4" s="4">
        <v>3766</v>
      </c>
      <c r="I4" s="4"/>
      <c r="J4" s="4">
        <v>1200</v>
      </c>
      <c r="K4" s="4">
        <v>1200</v>
      </c>
      <c r="L4" s="4"/>
      <c r="M4" s="4">
        <v>1000</v>
      </c>
      <c r="N4" s="4">
        <v>1000</v>
      </c>
      <c r="O4" s="4">
        <v>1000</v>
      </c>
      <c r="P4" s="4"/>
      <c r="Q4" s="4">
        <v>1000</v>
      </c>
    </row>
    <row r="5" spans="1:17" x14ac:dyDescent="0.4">
      <c r="A5" s="2" t="s">
        <v>4</v>
      </c>
      <c r="B5" s="2" t="s">
        <v>10</v>
      </c>
      <c r="C5" s="2" t="s">
        <v>12</v>
      </c>
      <c r="D5" s="4"/>
      <c r="E5" s="4"/>
      <c r="F5" s="4"/>
      <c r="G5" s="4"/>
      <c r="H5" s="4"/>
      <c r="I5" s="4"/>
      <c r="J5" s="4"/>
      <c r="K5" s="4"/>
      <c r="L5" s="4"/>
      <c r="M5" s="4"/>
      <c r="N5" s="4">
        <v>800</v>
      </c>
      <c r="O5" s="4">
        <v>800</v>
      </c>
      <c r="P5" s="4"/>
      <c r="Q5" s="4">
        <v>800</v>
      </c>
    </row>
    <row r="6" spans="1:17" x14ac:dyDescent="0.4">
      <c r="A6" s="2" t="s">
        <v>5</v>
      </c>
      <c r="B6" s="2" t="s">
        <v>10</v>
      </c>
      <c r="C6" s="2" t="s">
        <v>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v>600</v>
      </c>
      <c r="P6" s="4"/>
      <c r="Q6" s="4">
        <v>600</v>
      </c>
    </row>
    <row r="7" spans="1:17" x14ac:dyDescent="0.4">
      <c r="A7" s="2" t="s">
        <v>13</v>
      </c>
      <c r="B7" s="2" t="s">
        <v>17</v>
      </c>
      <c r="C7" s="2" t="s">
        <v>12</v>
      </c>
      <c r="D7" s="4"/>
      <c r="E7" s="4"/>
      <c r="F7" s="4"/>
      <c r="G7" s="4"/>
      <c r="H7" s="4">
        <v>1300</v>
      </c>
      <c r="I7" s="4"/>
      <c r="J7" s="4"/>
      <c r="K7" s="4"/>
      <c r="L7" s="4"/>
      <c r="M7" s="4">
        <v>800</v>
      </c>
      <c r="N7" s="4">
        <v>800</v>
      </c>
      <c r="O7" s="4">
        <v>800</v>
      </c>
      <c r="P7" s="4"/>
      <c r="Q7" s="4">
        <v>800</v>
      </c>
    </row>
    <row r="8" spans="1:17" x14ac:dyDescent="0.4">
      <c r="A8" s="2" t="s">
        <v>6</v>
      </c>
      <c r="B8" s="2" t="s">
        <v>10</v>
      </c>
      <c r="C8" s="2" t="s">
        <v>12</v>
      </c>
      <c r="D8" s="4"/>
      <c r="E8" s="4"/>
      <c r="F8" s="4"/>
      <c r="G8" s="4"/>
      <c r="H8" s="4">
        <v>700</v>
      </c>
      <c r="I8" s="4"/>
      <c r="J8" s="4">
        <v>500</v>
      </c>
      <c r="K8" s="4">
        <v>500</v>
      </c>
      <c r="L8" s="4"/>
      <c r="M8" s="4">
        <v>500</v>
      </c>
      <c r="N8" s="4">
        <v>500</v>
      </c>
      <c r="O8" s="4">
        <v>500</v>
      </c>
      <c r="P8" s="4"/>
      <c r="Q8" s="4">
        <v>500</v>
      </c>
    </row>
    <row r="9" spans="1:17" x14ac:dyDescent="0.4">
      <c r="A9" s="2" t="s">
        <v>7</v>
      </c>
      <c r="B9" s="2" t="s">
        <v>10</v>
      </c>
      <c r="C9" s="2" t="s">
        <v>12</v>
      </c>
      <c r="D9" s="4"/>
      <c r="E9" s="4"/>
      <c r="F9" s="4"/>
      <c r="G9" s="4"/>
      <c r="H9" s="4"/>
      <c r="I9" s="4"/>
      <c r="J9" s="4">
        <v>600</v>
      </c>
      <c r="K9" s="4">
        <v>600</v>
      </c>
      <c r="L9" s="4"/>
      <c r="M9" s="4">
        <v>600</v>
      </c>
      <c r="N9" s="4">
        <v>600</v>
      </c>
      <c r="O9" s="4">
        <v>600</v>
      </c>
      <c r="P9" s="4"/>
      <c r="Q9" s="4">
        <v>600</v>
      </c>
    </row>
    <row r="10" spans="1:17" x14ac:dyDescent="0.4">
      <c r="A10" s="2" t="s">
        <v>16</v>
      </c>
      <c r="B10" s="2" t="s">
        <v>10</v>
      </c>
      <c r="C10" s="2" t="s">
        <v>12</v>
      </c>
      <c r="D10" s="4"/>
      <c r="E10" s="4"/>
      <c r="F10" s="4"/>
      <c r="G10" s="4"/>
      <c r="H10" s="4">
        <v>1300</v>
      </c>
      <c r="I10" s="4"/>
      <c r="J10" s="4">
        <v>1000</v>
      </c>
      <c r="K10" s="4">
        <v>1000</v>
      </c>
      <c r="L10" s="4"/>
      <c r="M10" s="4">
        <v>800</v>
      </c>
      <c r="N10" s="4">
        <v>800</v>
      </c>
      <c r="O10" s="4">
        <v>800</v>
      </c>
      <c r="P10" s="4"/>
      <c r="Q10" s="4">
        <v>800</v>
      </c>
    </row>
    <row r="11" spans="1:17" x14ac:dyDescent="0.4">
      <c r="A11" s="2" t="s">
        <v>8</v>
      </c>
      <c r="B11" s="2" t="s">
        <v>10</v>
      </c>
      <c r="C11" s="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>
        <v>800</v>
      </c>
      <c r="N11" s="4">
        <v>800</v>
      </c>
      <c r="O11" s="4">
        <v>800</v>
      </c>
      <c r="P11" s="4"/>
      <c r="Q11" s="4">
        <v>800</v>
      </c>
    </row>
    <row r="12" spans="1:17" x14ac:dyDescent="0.4">
      <c r="A12" s="2" t="s">
        <v>9</v>
      </c>
      <c r="B12" s="2" t="s">
        <v>10</v>
      </c>
      <c r="C12" s="2" t="s">
        <v>12</v>
      </c>
      <c r="D12" s="4"/>
      <c r="E12" s="4"/>
      <c r="F12" s="4"/>
      <c r="G12" s="4"/>
      <c r="H12" s="4">
        <v>800</v>
      </c>
      <c r="I12" s="4"/>
      <c r="J12" s="4">
        <v>600</v>
      </c>
      <c r="K12" s="4">
        <v>600</v>
      </c>
      <c r="L12" s="4"/>
      <c r="M12" s="4">
        <v>600</v>
      </c>
      <c r="N12" s="4">
        <v>600</v>
      </c>
      <c r="O12" s="4">
        <v>600</v>
      </c>
      <c r="P12" s="4"/>
      <c r="Q12" s="4">
        <v>600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8.75" x14ac:dyDescent="0.4"/>
  <sheetData>
    <row r="1" spans="1:2" x14ac:dyDescent="0.4">
      <c r="A1" s="8" t="s">
        <v>129</v>
      </c>
    </row>
    <row r="2" spans="1:2" x14ac:dyDescent="0.4">
      <c r="B2" t="s">
        <v>229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1"/>
  <sheetViews>
    <sheetView workbookViewId="0">
      <selection activeCell="E6" sqref="E6"/>
    </sheetView>
  </sheetViews>
  <sheetFormatPr defaultRowHeight="18.75" x14ac:dyDescent="0.4"/>
  <cols>
    <col min="1" max="1" width="17.25" bestFit="1" customWidth="1"/>
    <col min="14" max="14" width="10.25" bestFit="1" customWidth="1"/>
    <col min="17" max="17" width="9" style="5"/>
  </cols>
  <sheetData>
    <row r="1" spans="1:18" x14ac:dyDescent="0.4">
      <c r="A1" s="8" t="s">
        <v>130</v>
      </c>
    </row>
    <row r="2" spans="1:18" x14ac:dyDescent="0.4">
      <c r="A2" s="2" t="s">
        <v>132</v>
      </c>
      <c r="B2" s="2" t="s">
        <v>0</v>
      </c>
      <c r="C2" s="2" t="s">
        <v>131</v>
      </c>
      <c r="D2" s="6" t="s">
        <v>133</v>
      </c>
      <c r="E2" s="6" t="s">
        <v>135</v>
      </c>
      <c r="F2" s="6" t="s">
        <v>136</v>
      </c>
      <c r="G2" s="6" t="s">
        <v>137</v>
      </c>
      <c r="H2" s="6" t="s">
        <v>138</v>
      </c>
      <c r="I2" s="6" t="s">
        <v>139</v>
      </c>
      <c r="J2" s="6" t="s">
        <v>140</v>
      </c>
      <c r="K2" s="6" t="s">
        <v>141</v>
      </c>
      <c r="L2" s="6" t="s">
        <v>142</v>
      </c>
      <c r="M2" s="6" t="s">
        <v>143</v>
      </c>
      <c r="N2" s="6" t="s">
        <v>144</v>
      </c>
      <c r="O2" s="6" t="s">
        <v>145</v>
      </c>
      <c r="P2" s="6" t="s">
        <v>146</v>
      </c>
      <c r="Q2" s="6" t="s">
        <v>147</v>
      </c>
    </row>
    <row r="3" spans="1:18" x14ac:dyDescent="0.4">
      <c r="A3" s="2" t="s">
        <v>232</v>
      </c>
      <c r="B3" s="2" t="s">
        <v>235</v>
      </c>
      <c r="C3" s="2">
        <v>80</v>
      </c>
      <c r="D3" s="4"/>
      <c r="E3" s="4"/>
      <c r="F3" s="4"/>
      <c r="G3" s="4"/>
      <c r="H3" s="4"/>
      <c r="I3" s="4"/>
      <c r="J3" s="4">
        <v>7200</v>
      </c>
      <c r="K3" s="4"/>
      <c r="L3" s="4">
        <v>5640</v>
      </c>
      <c r="M3" s="4"/>
      <c r="N3" s="4">
        <v>5600</v>
      </c>
      <c r="O3" s="4"/>
      <c r="P3" s="4"/>
      <c r="Q3" s="4">
        <v>6400</v>
      </c>
      <c r="R3" s="5"/>
    </row>
    <row r="4" spans="1:18" x14ac:dyDescent="0.4">
      <c r="A4" s="2" t="s">
        <v>232</v>
      </c>
      <c r="B4" s="2" t="s">
        <v>233</v>
      </c>
      <c r="C4" s="2">
        <v>100</v>
      </c>
      <c r="D4" s="4"/>
      <c r="E4" s="4">
        <v>10000</v>
      </c>
      <c r="F4" s="4"/>
      <c r="G4" s="4">
        <v>10000</v>
      </c>
      <c r="H4" s="4"/>
      <c r="I4" s="4"/>
      <c r="J4" s="4"/>
      <c r="K4" s="4"/>
      <c r="L4" s="4">
        <v>6681</v>
      </c>
      <c r="M4" s="4"/>
      <c r="N4" s="4">
        <f>(7250*8+6000*8+7150*10+7750*6+6100*8)/40</f>
        <v>6820</v>
      </c>
      <c r="O4" s="4"/>
      <c r="P4" s="4"/>
      <c r="Q4" s="4">
        <f>(8000*4+8300*10+7750*4+7100*3)/21</f>
        <v>7966.666666666667</v>
      </c>
      <c r="R4" s="5"/>
    </row>
    <row r="5" spans="1:18" x14ac:dyDescent="0.4">
      <c r="A5" s="2" t="s">
        <v>232</v>
      </c>
      <c r="B5" s="2" t="s">
        <v>236</v>
      </c>
      <c r="C5" s="2">
        <v>100</v>
      </c>
      <c r="D5" s="4"/>
      <c r="E5" s="4">
        <v>7000</v>
      </c>
      <c r="F5" s="4"/>
      <c r="G5" s="4"/>
      <c r="H5" s="4"/>
      <c r="I5" s="4"/>
      <c r="J5" s="4">
        <v>7500</v>
      </c>
      <c r="K5" s="4"/>
      <c r="L5" s="4">
        <v>6000</v>
      </c>
      <c r="M5" s="4"/>
      <c r="N5" s="4">
        <f>(5750*2+5000*2+6000*4+6500*2+5500*4)/14</f>
        <v>5750</v>
      </c>
      <c r="O5" s="4"/>
      <c r="P5" s="4"/>
      <c r="Q5" s="4">
        <f>(6000*2+7000*10+6000*2+6500*3)/17</f>
        <v>6676.4705882352937</v>
      </c>
      <c r="R5" s="5"/>
    </row>
    <row r="6" spans="1:18" x14ac:dyDescent="0.4">
      <c r="A6" s="2" t="s">
        <v>232</v>
      </c>
      <c r="B6" s="2" t="s">
        <v>239</v>
      </c>
      <c r="C6" s="2">
        <v>120</v>
      </c>
      <c r="D6" s="4"/>
      <c r="E6" s="4">
        <v>8400</v>
      </c>
      <c r="F6" s="4"/>
      <c r="G6" s="4"/>
      <c r="H6" s="4"/>
      <c r="I6" s="4"/>
      <c r="J6" s="4">
        <v>7200</v>
      </c>
      <c r="K6" s="4"/>
      <c r="L6" s="4"/>
      <c r="M6" s="4"/>
      <c r="N6" s="4">
        <f>(5400+6000+7200+5400)/4</f>
        <v>6000</v>
      </c>
      <c r="O6" s="4"/>
      <c r="P6" s="4"/>
      <c r="Q6" s="4">
        <f>(5400+7320*5+6600*2+7200*2)/10</f>
        <v>6960</v>
      </c>
      <c r="R6" s="5"/>
    </row>
    <row r="7" spans="1:18" x14ac:dyDescent="0.4">
      <c r="A7" s="2" t="s">
        <v>234</v>
      </c>
      <c r="B7" s="2" t="s">
        <v>235</v>
      </c>
      <c r="C7" s="2">
        <v>80</v>
      </c>
      <c r="D7" s="4"/>
      <c r="E7" s="4">
        <v>7100</v>
      </c>
      <c r="F7" s="4"/>
      <c r="G7" s="4">
        <v>7200</v>
      </c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x14ac:dyDescent="0.4">
      <c r="A8" s="2" t="s">
        <v>234</v>
      </c>
      <c r="B8" s="2" t="s">
        <v>233</v>
      </c>
      <c r="C8" s="2">
        <v>100</v>
      </c>
      <c r="D8" s="4"/>
      <c r="E8" s="4">
        <v>7833</v>
      </c>
      <c r="F8" s="4"/>
      <c r="G8" s="4">
        <v>8375</v>
      </c>
      <c r="H8" s="4"/>
      <c r="I8" s="4"/>
      <c r="J8" s="4">
        <v>7000</v>
      </c>
      <c r="K8" s="4"/>
      <c r="L8" s="4"/>
      <c r="M8" s="4"/>
      <c r="N8" s="4"/>
      <c r="O8" s="4"/>
      <c r="P8" s="4"/>
      <c r="Q8" s="4"/>
      <c r="R8" s="5"/>
    </row>
    <row r="9" spans="1:18" x14ac:dyDescent="0.4">
      <c r="A9" s="2" t="s">
        <v>234</v>
      </c>
      <c r="B9" s="2" t="s">
        <v>236</v>
      </c>
      <c r="C9" s="2">
        <v>100</v>
      </c>
      <c r="D9" s="4"/>
      <c r="E9" s="4">
        <v>6750</v>
      </c>
      <c r="F9" s="4"/>
      <c r="G9" s="4">
        <v>7000</v>
      </c>
      <c r="H9" s="4"/>
      <c r="I9" s="4"/>
      <c r="J9" s="4">
        <v>7000</v>
      </c>
      <c r="K9" s="4"/>
      <c r="L9" s="4"/>
      <c r="M9" s="4"/>
      <c r="N9" s="4"/>
      <c r="O9" s="4"/>
      <c r="P9" s="4"/>
      <c r="Q9" s="4"/>
      <c r="R9" s="5"/>
    </row>
    <row r="10" spans="1:18" x14ac:dyDescent="0.4">
      <c r="A10" s="2" t="s">
        <v>234</v>
      </c>
      <c r="B10" s="2" t="s">
        <v>239</v>
      </c>
      <c r="C10" s="2">
        <v>120</v>
      </c>
      <c r="D10" s="4"/>
      <c r="E10" s="4">
        <v>7200</v>
      </c>
      <c r="F10" s="4"/>
      <c r="G10" s="4"/>
      <c r="H10" s="4"/>
      <c r="I10" s="4"/>
      <c r="J10" s="4">
        <v>7200</v>
      </c>
      <c r="K10" s="4"/>
      <c r="L10" s="4"/>
      <c r="M10" s="4"/>
      <c r="N10" s="4"/>
      <c r="O10" s="4"/>
      <c r="P10" s="4"/>
      <c r="Q10" s="4"/>
      <c r="R10" s="5"/>
    </row>
    <row r="11" spans="1:18" x14ac:dyDescent="0.4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</row>
    <row r="12" spans="1:18" x14ac:dyDescent="0.4">
      <c r="A12" s="8" t="s">
        <v>237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4">
      <c r="A13" s="2" t="s">
        <v>132</v>
      </c>
      <c r="B13" s="2" t="s">
        <v>0</v>
      </c>
      <c r="C13" s="2" t="s">
        <v>131</v>
      </c>
      <c r="D13" s="4" t="s">
        <v>133</v>
      </c>
      <c r="E13" s="4" t="s">
        <v>135</v>
      </c>
      <c r="F13" s="4" t="s">
        <v>136</v>
      </c>
      <c r="G13" s="4" t="s">
        <v>137</v>
      </c>
      <c r="H13" s="4" t="s">
        <v>138</v>
      </c>
      <c r="I13" s="4" t="s">
        <v>139</v>
      </c>
      <c r="J13" s="4" t="s">
        <v>140</v>
      </c>
      <c r="K13" s="4" t="s">
        <v>141</v>
      </c>
      <c r="L13" s="4" t="s">
        <v>142</v>
      </c>
      <c r="M13" s="4" t="s">
        <v>143</v>
      </c>
      <c r="N13" s="4" t="s">
        <v>144</v>
      </c>
      <c r="O13" s="4" t="s">
        <v>145</v>
      </c>
      <c r="P13" s="4" t="s">
        <v>146</v>
      </c>
      <c r="Q13" s="4" t="s">
        <v>147</v>
      </c>
    </row>
    <row r="14" spans="1:18" x14ac:dyDescent="0.4">
      <c r="A14" s="2" t="s">
        <v>238</v>
      </c>
      <c r="B14" s="2" t="s">
        <v>239</v>
      </c>
      <c r="C14" s="2">
        <v>160</v>
      </c>
      <c r="D14" s="4"/>
      <c r="E14" s="4"/>
      <c r="F14" s="4"/>
      <c r="G14" s="4">
        <v>7200</v>
      </c>
      <c r="H14" s="4"/>
      <c r="I14" s="4"/>
      <c r="J14" s="4">
        <v>8000</v>
      </c>
      <c r="K14" s="4"/>
      <c r="L14" s="4">
        <f>(4800+7200*2+6800+6800)/5</f>
        <v>6560</v>
      </c>
      <c r="M14" s="4"/>
      <c r="N14" s="4"/>
      <c r="O14" s="4"/>
      <c r="P14" s="4"/>
      <c r="Q14" s="4"/>
    </row>
    <row r="15" spans="1:18" x14ac:dyDescent="0.4">
      <c r="A15" s="2" t="s">
        <v>238</v>
      </c>
      <c r="B15" s="2" t="s">
        <v>277</v>
      </c>
      <c r="C15" s="2">
        <v>160</v>
      </c>
      <c r="D15" s="4"/>
      <c r="E15" s="4"/>
      <c r="F15" s="4"/>
      <c r="G15" s="4"/>
      <c r="H15" s="4"/>
      <c r="I15" s="4"/>
      <c r="J15" s="4"/>
      <c r="K15" s="4"/>
      <c r="L15" s="4">
        <v>6400</v>
      </c>
      <c r="M15" s="4"/>
      <c r="N15" s="4"/>
      <c r="O15" s="4"/>
      <c r="P15" s="4"/>
      <c r="Q15" s="4"/>
    </row>
    <row r="16" spans="1:18" x14ac:dyDescent="0.4">
      <c r="A16" s="2" t="s">
        <v>240</v>
      </c>
      <c r="B16" s="2" t="s">
        <v>241</v>
      </c>
      <c r="C16" s="2">
        <v>100</v>
      </c>
      <c r="D16" s="4"/>
      <c r="E16" s="4">
        <f>(8000*2+8500*2+9000*6)/10</f>
        <v>8700</v>
      </c>
      <c r="F16" s="4"/>
      <c r="G16" s="4">
        <v>8153</v>
      </c>
      <c r="H16" s="4"/>
      <c r="I16" s="4"/>
      <c r="J16" s="4">
        <v>9000</v>
      </c>
      <c r="K16" s="4"/>
      <c r="L16" s="4"/>
      <c r="M16" s="4"/>
      <c r="N16" s="4"/>
      <c r="O16" s="4"/>
      <c r="P16" s="4"/>
      <c r="Q16" s="4"/>
    </row>
    <row r="17" spans="1:17" x14ac:dyDescent="0.4">
      <c r="A17" s="2" t="s">
        <v>242</v>
      </c>
      <c r="B17" s="2" t="s">
        <v>243</v>
      </c>
      <c r="C17" s="2">
        <v>100</v>
      </c>
      <c r="D17" s="4"/>
      <c r="E17" s="4">
        <f>(7000+6100)/2</f>
        <v>6550</v>
      </c>
      <c r="F17" s="4"/>
      <c r="G17" s="4">
        <v>6750</v>
      </c>
      <c r="H17" s="4"/>
      <c r="I17" s="4"/>
      <c r="J17" s="4">
        <v>6933</v>
      </c>
      <c r="K17" s="4"/>
      <c r="L17" s="4"/>
      <c r="M17" s="4"/>
      <c r="N17" s="4"/>
      <c r="O17" s="4"/>
      <c r="P17" s="4"/>
      <c r="Q17" s="4"/>
    </row>
    <row r="18" spans="1:17" x14ac:dyDescent="0.4">
      <c r="A18" s="2" t="s">
        <v>242</v>
      </c>
      <c r="B18" s="2" t="s">
        <v>239</v>
      </c>
      <c r="C18" s="2">
        <v>160</v>
      </c>
      <c r="D18" s="4"/>
      <c r="E18" s="4">
        <v>7200</v>
      </c>
      <c r="F18" s="4"/>
      <c r="G18" s="4">
        <v>7040</v>
      </c>
      <c r="H18" s="4"/>
      <c r="I18" s="4"/>
      <c r="J18" s="4">
        <v>8800</v>
      </c>
      <c r="K18" s="4"/>
      <c r="L18" s="4"/>
      <c r="M18" s="4"/>
      <c r="N18" s="4"/>
      <c r="O18" s="4"/>
      <c r="P18" s="4"/>
      <c r="Q18" s="4"/>
    </row>
    <row r="19" spans="1:17" x14ac:dyDescent="0.4">
      <c r="A19" s="2" t="s">
        <v>240</v>
      </c>
      <c r="B19" s="2" t="s">
        <v>277</v>
      </c>
      <c r="C19" s="2">
        <v>160</v>
      </c>
      <c r="D19" s="4"/>
      <c r="E19" s="4">
        <v>4800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4">
      <c r="A20" s="2" t="s">
        <v>244</v>
      </c>
      <c r="B20" s="2" t="s">
        <v>241</v>
      </c>
      <c r="C20" s="2">
        <v>100</v>
      </c>
      <c r="D20" s="4"/>
      <c r="E20" s="4">
        <f>(8500*3+10000*2+9000)/6</f>
        <v>9083.3333333333339</v>
      </c>
      <c r="F20" s="4"/>
      <c r="G20" s="4">
        <f>(8500*9+9000*3+8000)/13</f>
        <v>8576.9230769230762</v>
      </c>
      <c r="H20" s="4"/>
      <c r="I20" s="4"/>
      <c r="J20" s="4">
        <v>8500</v>
      </c>
      <c r="K20" s="4"/>
      <c r="L20" s="4">
        <v>9000</v>
      </c>
      <c r="M20" s="4"/>
      <c r="N20" s="4">
        <v>6750</v>
      </c>
      <c r="O20" s="4"/>
      <c r="P20" s="4"/>
      <c r="Q20" s="4"/>
    </row>
    <row r="21" spans="1:17" x14ac:dyDescent="0.4">
      <c r="A21" s="2" t="s">
        <v>244</v>
      </c>
      <c r="B21" s="2" t="s">
        <v>243</v>
      </c>
      <c r="C21" s="2">
        <v>100</v>
      </c>
      <c r="D21" s="4"/>
      <c r="E21" s="4">
        <v>7000</v>
      </c>
      <c r="F21" s="4"/>
      <c r="G21" s="4">
        <f>(7500+7000+6000+6000+7000+7333+7333+7500+7000+6000+7333)/11</f>
        <v>6909</v>
      </c>
      <c r="H21" s="4"/>
      <c r="I21" s="4"/>
      <c r="J21" s="4">
        <v>7250</v>
      </c>
      <c r="K21" s="4"/>
      <c r="L21" s="4">
        <v>7500</v>
      </c>
      <c r="M21" s="4"/>
      <c r="N21" s="4">
        <v>6750</v>
      </c>
      <c r="O21" s="4"/>
      <c r="P21" s="4"/>
      <c r="Q21" s="4">
        <v>6000</v>
      </c>
    </row>
    <row r="22" spans="1:17" x14ac:dyDescent="0.4">
      <c r="A22" s="2" t="s">
        <v>244</v>
      </c>
      <c r="B22" s="2" t="s">
        <v>239</v>
      </c>
      <c r="C22" s="2">
        <v>160</v>
      </c>
      <c r="D22" s="4"/>
      <c r="E22" s="4">
        <v>7200</v>
      </c>
      <c r="F22" s="4"/>
      <c r="G22" s="4">
        <v>7466</v>
      </c>
      <c r="H22" s="4"/>
      <c r="I22" s="4"/>
      <c r="J22" s="4">
        <v>8000</v>
      </c>
      <c r="K22" s="4"/>
      <c r="L22" s="4"/>
      <c r="M22" s="4"/>
      <c r="N22" s="4"/>
      <c r="O22" s="4"/>
      <c r="P22" s="4"/>
      <c r="Q22" s="4">
        <v>8800</v>
      </c>
    </row>
    <row r="23" spans="1:17" x14ac:dyDescent="0.4">
      <c r="A23" s="2" t="s">
        <v>245</v>
      </c>
      <c r="B23" s="2" t="s">
        <v>241</v>
      </c>
      <c r="C23" s="2">
        <v>100</v>
      </c>
      <c r="D23" s="4"/>
      <c r="E23" s="4">
        <v>9000</v>
      </c>
      <c r="F23" s="4"/>
      <c r="G23" s="4">
        <v>8500</v>
      </c>
      <c r="H23" s="4"/>
      <c r="I23" s="4"/>
      <c r="J23" s="4">
        <f>(6500*4+8000*3+7000*4+5500*2+6750*2+5000+7500*3+6000*2+8000*2+7000*2)/25</f>
        <v>6880</v>
      </c>
      <c r="K23" s="4"/>
      <c r="L23" s="4">
        <f>(6000*2+7000*2+6000*3+6500+7000+7166*3+6000*3+7000*4+6500*4+6500+7000*2+7166*3)/29</f>
        <v>6655.0344827586205</v>
      </c>
      <c r="M23" s="4"/>
      <c r="N23" s="4">
        <f>(7000*2+6000*2+7750*2+8000+7000*2+6000+8800+7000+7750*2)/14</f>
        <v>7200</v>
      </c>
      <c r="O23" s="4"/>
      <c r="P23" s="4"/>
      <c r="Q23" s="4">
        <f>(8000*2+8500+9000)/4</f>
        <v>8375</v>
      </c>
    </row>
    <row r="24" spans="1:17" x14ac:dyDescent="0.4">
      <c r="A24" s="2" t="s">
        <v>245</v>
      </c>
      <c r="B24" s="2" t="s">
        <v>243</v>
      </c>
      <c r="C24" s="2">
        <v>100</v>
      </c>
      <c r="D24" s="4"/>
      <c r="E24" s="4">
        <v>7000</v>
      </c>
      <c r="F24" s="4"/>
      <c r="G24" s="4">
        <v>5925</v>
      </c>
      <c r="H24" s="4"/>
      <c r="I24" s="4"/>
      <c r="J24" s="4">
        <v>6750</v>
      </c>
      <c r="K24" s="4"/>
      <c r="L24" s="4">
        <f>(4000*2+4000*2+2500*2+5700*3+4000+4500+2600+5700*2)/14</f>
        <v>4328.5714285714284</v>
      </c>
      <c r="M24" s="4"/>
      <c r="N24" s="4">
        <f>(3750*2+6000*2+4500*2+5000+5600*2+3500*3+6000*2+4500+5000*2+5600*4)/21</f>
        <v>4957.1428571428569</v>
      </c>
      <c r="O24" s="4"/>
      <c r="P24" s="4"/>
      <c r="Q24" s="4">
        <f>(6750*2+6000+7000*4+5750*2+6000*3+5600*3+6000+7000*2+6500)/19</f>
        <v>6331.5789473684208</v>
      </c>
    </row>
    <row r="25" spans="1:17" x14ac:dyDescent="0.4">
      <c r="A25" s="2" t="s">
        <v>245</v>
      </c>
      <c r="B25" s="2" t="s">
        <v>239</v>
      </c>
      <c r="C25" s="2">
        <v>160</v>
      </c>
      <c r="D25" s="4"/>
      <c r="E25" s="4">
        <v>4800</v>
      </c>
      <c r="F25" s="4"/>
      <c r="G25" s="4">
        <v>4960</v>
      </c>
      <c r="H25" s="4"/>
      <c r="I25" s="4"/>
      <c r="J25" s="4">
        <v>4960</v>
      </c>
      <c r="K25" s="4"/>
      <c r="L25" s="4">
        <v>4320</v>
      </c>
      <c r="M25" s="4"/>
      <c r="N25" s="4">
        <f>(6400+5600+8800+6400+5600+5000)/6</f>
        <v>6300</v>
      </c>
      <c r="O25" s="4"/>
      <c r="P25" s="4"/>
      <c r="Q25" s="4">
        <f>(6400*2+6000*2+5600*2+6720*4+7200+6400+6720*2)/10</f>
        <v>8992</v>
      </c>
    </row>
    <row r="26" spans="1:17" x14ac:dyDescent="0.4">
      <c r="A26" s="2" t="s">
        <v>246</v>
      </c>
      <c r="B26" s="2" t="s">
        <v>241</v>
      </c>
      <c r="C26" s="2">
        <v>100</v>
      </c>
      <c r="D26" s="4"/>
      <c r="E26" s="4">
        <f>(8500*2+10000+9000)/4</f>
        <v>9000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4">
      <c r="A27" s="2" t="s">
        <v>246</v>
      </c>
      <c r="B27" s="2" t="s">
        <v>243</v>
      </c>
      <c r="C27" s="2">
        <v>100</v>
      </c>
      <c r="D27" s="4"/>
      <c r="E27" s="4">
        <f>(7500*2+7000+6000+6966*2)/6</f>
        <v>6988.666666666667</v>
      </c>
      <c r="F27" s="4"/>
      <c r="G27" s="4">
        <v>7500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4">
      <c r="A28" s="2" t="s">
        <v>246</v>
      </c>
      <c r="B28" s="2" t="s">
        <v>239</v>
      </c>
      <c r="C28" s="2">
        <v>160</v>
      </c>
      <c r="D28" s="4"/>
      <c r="E28" s="4">
        <v>8000</v>
      </c>
      <c r="F28" s="4"/>
      <c r="G28" s="4">
        <v>8200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4">
      <c r="A29" s="2" t="s">
        <v>247</v>
      </c>
      <c r="B29" s="2" t="s">
        <v>241</v>
      </c>
      <c r="C29" s="2">
        <v>100</v>
      </c>
      <c r="D29" s="4"/>
      <c r="E29" s="4">
        <f>(8500*4+9500+9000+8250)/7</f>
        <v>8678.5714285714294</v>
      </c>
      <c r="F29" s="4"/>
      <c r="G29" s="4">
        <v>9000</v>
      </c>
      <c r="H29" s="4"/>
      <c r="I29" s="4"/>
      <c r="J29" s="4">
        <v>9000</v>
      </c>
      <c r="K29" s="4"/>
      <c r="L29" s="4"/>
      <c r="M29" s="4"/>
      <c r="N29" s="4"/>
      <c r="O29" s="4"/>
      <c r="P29" s="4"/>
      <c r="Q29" s="4"/>
    </row>
    <row r="30" spans="1:17" x14ac:dyDescent="0.4">
      <c r="A30" s="2" t="s">
        <v>247</v>
      </c>
      <c r="B30" s="2" t="s">
        <v>243</v>
      </c>
      <c r="C30" s="2">
        <v>100</v>
      </c>
      <c r="D30" s="4"/>
      <c r="E30" s="4">
        <f>(6000+6500+6850)/3</f>
        <v>6450</v>
      </c>
      <c r="F30" s="4"/>
      <c r="G30" s="4">
        <v>7000</v>
      </c>
      <c r="H30" s="4"/>
      <c r="I30" s="4"/>
      <c r="J30" s="4">
        <v>6750</v>
      </c>
      <c r="K30" s="4"/>
      <c r="L30" s="4"/>
      <c r="M30" s="4"/>
      <c r="N30" s="4"/>
      <c r="O30" s="4"/>
      <c r="P30" s="4"/>
      <c r="Q30" s="4"/>
    </row>
    <row r="31" spans="1:17" x14ac:dyDescent="0.4">
      <c r="A31" s="2" t="s">
        <v>247</v>
      </c>
      <c r="B31" s="2" t="s">
        <v>239</v>
      </c>
      <c r="C31" s="2">
        <v>160</v>
      </c>
      <c r="D31" s="4"/>
      <c r="E31" s="4">
        <v>6400</v>
      </c>
      <c r="F31" s="4"/>
      <c r="G31" s="4">
        <v>8400</v>
      </c>
      <c r="H31" s="4"/>
      <c r="I31" s="4"/>
      <c r="J31" s="4">
        <v>8800</v>
      </c>
      <c r="K31" s="4"/>
      <c r="L31" s="4"/>
      <c r="M31" s="4"/>
      <c r="N31" s="4"/>
      <c r="O31" s="4"/>
      <c r="P31" s="4"/>
      <c r="Q31" s="4"/>
    </row>
    <row r="32" spans="1:17" x14ac:dyDescent="0.4">
      <c r="A32" s="2" t="s">
        <v>248</v>
      </c>
      <c r="B32" s="2" t="s">
        <v>241</v>
      </c>
      <c r="C32" s="2">
        <v>100</v>
      </c>
      <c r="D32" s="4"/>
      <c r="E32" s="4">
        <v>9000</v>
      </c>
      <c r="F32" s="4"/>
      <c r="G32" s="4">
        <v>8642</v>
      </c>
      <c r="H32" s="4"/>
      <c r="I32" s="4"/>
      <c r="J32" s="4">
        <f>(7000+7500+7000+7000*2+8500*2+7000*2)/9</f>
        <v>7388.8888888888887</v>
      </c>
      <c r="K32" s="4"/>
      <c r="L32" s="4">
        <f>(7000*2+7000*2+6500*2)/6</f>
        <v>6833.333333333333</v>
      </c>
      <c r="M32" s="4"/>
      <c r="N32" s="4">
        <f>(8000+7000+8000*2+7000*2+6750*2+6000+6500)/10</f>
        <v>7100</v>
      </c>
      <c r="O32" s="4"/>
      <c r="P32" s="4"/>
      <c r="Q32" s="4">
        <f>(8000*2+8500+8000*2+8500)/6</f>
        <v>8166.666666666667</v>
      </c>
    </row>
    <row r="33" spans="1:17" x14ac:dyDescent="0.4">
      <c r="A33" s="2" t="s">
        <v>248</v>
      </c>
      <c r="B33" s="2" t="s">
        <v>243</v>
      </c>
      <c r="C33" s="2">
        <v>100</v>
      </c>
      <c r="D33" s="4"/>
      <c r="E33" s="4"/>
      <c r="F33" s="4"/>
      <c r="G33" s="4"/>
      <c r="H33" s="4"/>
      <c r="I33" s="4"/>
      <c r="J33" s="4">
        <f>(4000+5000+5500+4000+5500+5500)/6</f>
        <v>4916.666666666667</v>
      </c>
      <c r="K33" s="4"/>
      <c r="L33" s="4">
        <v>4500</v>
      </c>
      <c r="M33" s="4"/>
      <c r="N33" s="4">
        <f>(4000+6000+5000+7500+4500+5000)/6</f>
        <v>5333.333333333333</v>
      </c>
      <c r="O33" s="4"/>
      <c r="P33" s="4"/>
      <c r="Q33" s="4">
        <f>(6000+7000*2+6500+6000*2+5500*3+6000+7500+5500)/12</f>
        <v>6166.666666666667</v>
      </c>
    </row>
    <row r="34" spans="1:17" x14ac:dyDescent="0.4">
      <c r="A34" s="2" t="s">
        <v>248</v>
      </c>
      <c r="B34" s="2" t="s">
        <v>239</v>
      </c>
      <c r="C34" s="2">
        <v>160</v>
      </c>
      <c r="D34" s="4"/>
      <c r="E34" s="4">
        <v>5120</v>
      </c>
      <c r="F34" s="4"/>
      <c r="G34" s="4"/>
      <c r="H34" s="4"/>
      <c r="I34" s="4"/>
      <c r="J34" s="4">
        <v>4800</v>
      </c>
      <c r="K34" s="4"/>
      <c r="L34" s="4">
        <f>(5600+4800)/2</f>
        <v>5200</v>
      </c>
      <c r="M34" s="4"/>
      <c r="N34" s="4">
        <v>7200</v>
      </c>
      <c r="O34" s="4"/>
      <c r="P34" s="4"/>
      <c r="Q34" s="4">
        <f>(7200+6400+5600+5760+7200+6400+5760)/7</f>
        <v>6331.4285714285716</v>
      </c>
    </row>
    <row r="35" spans="1:17" x14ac:dyDescent="0.4">
      <c r="A35" s="2" t="s">
        <v>248</v>
      </c>
      <c r="B35" s="2" t="s">
        <v>277</v>
      </c>
      <c r="C35" s="2">
        <v>160</v>
      </c>
      <c r="D35" s="4"/>
      <c r="E35" s="4">
        <v>4000</v>
      </c>
      <c r="F35" s="4"/>
      <c r="G35" s="4"/>
      <c r="H35" s="4"/>
      <c r="I35" s="4"/>
      <c r="J35" s="4"/>
      <c r="K35" s="4"/>
      <c r="L35" s="4"/>
      <c r="M35" s="4"/>
      <c r="N35" s="4">
        <v>3680</v>
      </c>
      <c r="O35" s="4"/>
      <c r="P35" s="4"/>
      <c r="Q35" s="4">
        <v>6400</v>
      </c>
    </row>
    <row r="36" spans="1:17" x14ac:dyDescent="0.4">
      <c r="A36" s="2" t="s">
        <v>249</v>
      </c>
      <c r="B36" s="2" t="s">
        <v>241</v>
      </c>
      <c r="C36" s="2">
        <v>100</v>
      </c>
      <c r="D36" s="4"/>
      <c r="E36" s="4">
        <f>(9000*4+9833*3)/7</f>
        <v>9357</v>
      </c>
      <c r="F36" s="4"/>
      <c r="G36" s="4">
        <v>10000</v>
      </c>
      <c r="H36" s="4"/>
      <c r="I36" s="4"/>
      <c r="J36" s="4"/>
      <c r="K36" s="4"/>
      <c r="L36" s="4">
        <v>8000</v>
      </c>
      <c r="M36" s="4"/>
      <c r="N36" s="4">
        <f>(8000+7500+9000+8000+7500+9000+8500+8000)/8</f>
        <v>8187.5</v>
      </c>
      <c r="O36" s="4"/>
      <c r="P36" s="4"/>
      <c r="Q36" s="4">
        <f>(8000+8500+9000*2+8500)/5</f>
        <v>8600</v>
      </c>
    </row>
    <row r="37" spans="1:17" x14ac:dyDescent="0.4">
      <c r="A37" s="2" t="s">
        <v>250</v>
      </c>
      <c r="B37" s="2" t="s">
        <v>243</v>
      </c>
      <c r="C37" s="2">
        <v>100</v>
      </c>
      <c r="D37" s="4"/>
      <c r="E37" s="4">
        <v>7300</v>
      </c>
      <c r="F37" s="4"/>
      <c r="G37" s="4">
        <v>7000</v>
      </c>
      <c r="H37" s="4"/>
      <c r="I37" s="4"/>
      <c r="J37" s="4"/>
      <c r="K37" s="4"/>
      <c r="L37" s="4"/>
      <c r="M37" s="4"/>
      <c r="N37" s="4"/>
      <c r="O37" s="4"/>
      <c r="P37" s="4"/>
      <c r="Q37" s="4">
        <f>(7000+7250+6000+7000+7250)/5</f>
        <v>6900</v>
      </c>
    </row>
    <row r="38" spans="1:17" x14ac:dyDescent="0.4">
      <c r="A38" s="2" t="s">
        <v>251</v>
      </c>
      <c r="B38" s="2" t="s">
        <v>239</v>
      </c>
      <c r="C38" s="2">
        <v>160</v>
      </c>
      <c r="D38" s="4"/>
      <c r="E38" s="4"/>
      <c r="F38" s="4"/>
      <c r="G38" s="4">
        <v>8000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4">
      <c r="A39" s="2" t="s">
        <v>249</v>
      </c>
      <c r="B39" s="2" t="s">
        <v>277</v>
      </c>
      <c r="C39" s="2">
        <v>160</v>
      </c>
      <c r="D39" s="4"/>
      <c r="E39" s="4"/>
      <c r="F39" s="4"/>
      <c r="G39" s="4"/>
      <c r="H39" s="4"/>
      <c r="I39" s="4"/>
      <c r="J39" s="4">
        <v>6400</v>
      </c>
      <c r="K39" s="4"/>
      <c r="L39" s="4"/>
      <c r="M39" s="4"/>
      <c r="N39" s="4"/>
      <c r="O39" s="4"/>
      <c r="P39" s="4"/>
      <c r="Q39" s="4"/>
    </row>
    <row r="40" spans="1:17" x14ac:dyDescent="0.4">
      <c r="A40" s="2" t="s">
        <v>252</v>
      </c>
      <c r="B40" s="2" t="s">
        <v>241</v>
      </c>
      <c r="C40" s="2">
        <v>100</v>
      </c>
      <c r="D40" s="4"/>
      <c r="E40" s="4">
        <f>(9500*2+9000*3)/5</f>
        <v>9200</v>
      </c>
      <c r="F40" s="4"/>
      <c r="G40" s="4">
        <v>9111</v>
      </c>
      <c r="H40" s="4"/>
      <c r="I40" s="4"/>
      <c r="J40" s="4">
        <v>9166</v>
      </c>
      <c r="K40" s="4"/>
      <c r="L40" s="4">
        <f>(8500+9000*2+8500+8000+9000+9000+8000)/8</f>
        <v>8625</v>
      </c>
      <c r="M40" s="4"/>
      <c r="N40" s="4">
        <f>(8500*2+9000+8400+8000+8500+8125*2+8750*2+7500*3+8250*2+9500+8200*2+8500+8125)/21</f>
        <v>7913.0952380952385</v>
      </c>
      <c r="O40" s="4"/>
      <c r="P40" s="4"/>
      <c r="Q40" s="4">
        <f>(8500*4+9000+8166*3+8500*2+8250*2+9000+8666*2+9000*4+8500+9000+8666)/22</f>
        <v>8613.454545454546</v>
      </c>
    </row>
    <row r="41" spans="1:17" x14ac:dyDescent="0.4">
      <c r="A41" s="2" t="s">
        <v>252</v>
      </c>
      <c r="B41" s="2" t="s">
        <v>243</v>
      </c>
      <c r="C41" s="2">
        <v>100</v>
      </c>
      <c r="D41" s="4"/>
      <c r="E41" s="4">
        <f>(7000+7500+6500+7000*2+5000+6466*2)/8</f>
        <v>6616.5</v>
      </c>
      <c r="F41" s="4"/>
      <c r="G41" s="4">
        <v>6970</v>
      </c>
      <c r="H41" s="4"/>
      <c r="I41" s="4"/>
      <c r="J41" s="4">
        <f>(7500+7500+7000+7000+6500+7500+5500)/7</f>
        <v>6928.5714285714284</v>
      </c>
      <c r="K41" s="4"/>
      <c r="L41" s="4">
        <f>(7000+6800*2+6400*2+6500*2+7000+7000)/9</f>
        <v>6711.1111111111113</v>
      </c>
      <c r="M41" s="4"/>
      <c r="N41" s="4">
        <f>(7000*6+6833+7000*2+7650*2+6500+7000+6833*2)/15</f>
        <v>7019.9333333333334</v>
      </c>
      <c r="O41" s="4"/>
      <c r="P41" s="4"/>
      <c r="Q41" s="4">
        <f>(7000*2+6500*3+7350*2+6250*2+7000*2+7000+7000*2+6500*2+7500*2+8050*2+8500+7000*2)/23</f>
        <v>7056.521739130435</v>
      </c>
    </row>
    <row r="42" spans="1:17" x14ac:dyDescent="0.4">
      <c r="A42" s="2" t="s">
        <v>252</v>
      </c>
      <c r="B42" s="2" t="s">
        <v>239</v>
      </c>
      <c r="C42" s="2">
        <v>160</v>
      </c>
      <c r="D42" s="4"/>
      <c r="E42" s="4">
        <f>(7200+8000*2+6400*2)/5</f>
        <v>7200</v>
      </c>
      <c r="F42" s="4"/>
      <c r="G42" s="4">
        <v>7584</v>
      </c>
      <c r="H42" s="4"/>
      <c r="I42" s="4"/>
      <c r="J42" s="4">
        <f>(8000+8000+6400+8800+8000+8000*2+6400+8800*2)/10</f>
        <v>7920</v>
      </c>
      <c r="K42" s="4"/>
      <c r="L42" s="4">
        <v>8000</v>
      </c>
      <c r="M42" s="4"/>
      <c r="N42" s="4">
        <f>(6400+8000*2+9066+8000*4+9600+9066*2)/11</f>
        <v>8290.7272727272721</v>
      </c>
      <c r="O42" s="4"/>
      <c r="P42" s="4"/>
      <c r="Q42" s="4">
        <f>(7200+8000*2+8000*2+9600*2+8320*3+8400*2+8000*3+8300*2+8320*3)/20</f>
        <v>8286</v>
      </c>
    </row>
    <row r="43" spans="1:17" x14ac:dyDescent="0.4">
      <c r="A43" s="2" t="s">
        <v>253</v>
      </c>
      <c r="B43" s="2" t="s">
        <v>241</v>
      </c>
      <c r="C43" s="2">
        <v>100</v>
      </c>
      <c r="D43" s="4"/>
      <c r="E43" s="4"/>
      <c r="F43" s="4"/>
      <c r="G43" s="4">
        <v>7500</v>
      </c>
      <c r="H43" s="4"/>
      <c r="I43" s="4"/>
      <c r="J43" s="4">
        <v>7750</v>
      </c>
      <c r="K43" s="4"/>
      <c r="L43" s="4">
        <v>8000</v>
      </c>
      <c r="M43" s="4"/>
      <c r="N43" s="4"/>
      <c r="O43" s="4"/>
      <c r="P43" s="4"/>
      <c r="Q43" s="4"/>
    </row>
    <row r="44" spans="1:17" x14ac:dyDescent="0.4">
      <c r="A44" s="2" t="s">
        <v>253</v>
      </c>
      <c r="B44" s="2" t="s">
        <v>243</v>
      </c>
      <c r="C44" s="2">
        <v>100</v>
      </c>
      <c r="D44" s="4"/>
      <c r="E44" s="4"/>
      <c r="F44" s="4"/>
      <c r="G44" s="4">
        <v>6500</v>
      </c>
      <c r="H44" s="4"/>
      <c r="I44" s="4"/>
      <c r="J44" s="4">
        <f>(6000+6500*2+7000+6000+6000+7000+6000+6500*2)/10</f>
        <v>6400</v>
      </c>
      <c r="K44" s="4"/>
      <c r="L44" s="4">
        <v>6500</v>
      </c>
      <c r="M44" s="4"/>
      <c r="N44" s="4">
        <f>(5000+6000*2+5500)/4</f>
        <v>5625</v>
      </c>
      <c r="O44" s="4"/>
      <c r="P44" s="4"/>
      <c r="Q44" s="4">
        <f>(5000+6000+6000)/3</f>
        <v>5666.666666666667</v>
      </c>
    </row>
    <row r="45" spans="1:17" x14ac:dyDescent="0.4">
      <c r="A45" s="2" t="s">
        <v>253</v>
      </c>
      <c r="B45" s="2" t="s">
        <v>239</v>
      </c>
      <c r="C45" s="2">
        <v>160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v>6400</v>
      </c>
      <c r="O45" s="4"/>
      <c r="P45" s="4"/>
      <c r="Q45" s="4">
        <v>8000</v>
      </c>
    </row>
    <row r="46" spans="1:17" x14ac:dyDescent="0.4">
      <c r="A46" s="2" t="s">
        <v>253</v>
      </c>
      <c r="B46" s="2" t="s">
        <v>277</v>
      </c>
      <c r="C46" s="2">
        <v>160</v>
      </c>
      <c r="D46" s="4"/>
      <c r="E46" s="4">
        <v>3200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4">
      <c r="A47" s="2" t="s">
        <v>254</v>
      </c>
      <c r="B47" s="2" t="s">
        <v>239</v>
      </c>
      <c r="C47" s="2">
        <v>160</v>
      </c>
      <c r="D47" s="4"/>
      <c r="E47" s="4">
        <v>7200</v>
      </c>
      <c r="F47" s="4"/>
      <c r="G47" s="4">
        <v>8000</v>
      </c>
      <c r="H47" s="4"/>
      <c r="I47" s="4"/>
      <c r="J47" s="4"/>
      <c r="K47" s="4"/>
      <c r="L47" s="4">
        <v>7200</v>
      </c>
      <c r="M47" s="4"/>
      <c r="N47" s="4">
        <v>7200</v>
      </c>
      <c r="O47" s="4"/>
      <c r="P47" s="4"/>
      <c r="Q47" s="4"/>
    </row>
    <row r="48" spans="1:17" x14ac:dyDescent="0.4">
      <c r="A48" s="2" t="s">
        <v>254</v>
      </c>
      <c r="B48" s="2" t="s">
        <v>277</v>
      </c>
      <c r="C48" s="2">
        <v>160</v>
      </c>
      <c r="D48" s="4"/>
      <c r="E48" s="4">
        <v>5600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4">
      <c r="A49" s="2" t="s">
        <v>329</v>
      </c>
      <c r="B49" s="2" t="s">
        <v>315</v>
      </c>
      <c r="C49" s="2">
        <v>160</v>
      </c>
      <c r="D49" s="4"/>
      <c r="E49" s="4">
        <f>(6400+6560)/2</f>
        <v>6480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4">
      <c r="A50" s="2" t="s">
        <v>329</v>
      </c>
      <c r="B50" s="2" t="s">
        <v>316</v>
      </c>
      <c r="C50" s="2">
        <v>160</v>
      </c>
      <c r="D50" s="4"/>
      <c r="E50" s="4">
        <v>5600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4">
      <c r="A51" s="2" t="s">
        <v>255</v>
      </c>
      <c r="B51" s="2" t="s">
        <v>241</v>
      </c>
      <c r="C51" s="2">
        <v>100</v>
      </c>
      <c r="D51" s="4"/>
      <c r="E51" s="4">
        <v>9000</v>
      </c>
      <c r="F51" s="4"/>
      <c r="G51" s="4">
        <f>(8500*7+7750*2+8500*5)/14</f>
        <v>8392.8571428571431</v>
      </c>
      <c r="H51" s="4"/>
      <c r="I51" s="4"/>
      <c r="J51" s="4">
        <f>(6000*3+8000*3+7000*2+6500*2+7000*2+7000+7000*2)/15</f>
        <v>6933.333333333333</v>
      </c>
      <c r="K51" s="4"/>
      <c r="L51" s="4"/>
      <c r="M51" s="4"/>
      <c r="N51" s="4"/>
      <c r="O51" s="4"/>
      <c r="P51" s="4"/>
      <c r="Q51" s="4"/>
    </row>
    <row r="52" spans="1:17" x14ac:dyDescent="0.4">
      <c r="A52" s="2" t="s">
        <v>255</v>
      </c>
      <c r="B52" s="2" t="s">
        <v>243</v>
      </c>
      <c r="C52" s="2">
        <v>100</v>
      </c>
      <c r="D52" s="4"/>
      <c r="E52" s="4"/>
      <c r="F52" s="4"/>
      <c r="G52" s="4">
        <v>5500</v>
      </c>
      <c r="H52" s="4"/>
      <c r="I52" s="4"/>
      <c r="J52" s="4">
        <f>(5000+5833+5500*2+4000*2+5000*2+4000+5833*2)/11</f>
        <v>5045.363636363636</v>
      </c>
      <c r="K52" s="4"/>
      <c r="L52" s="4">
        <v>5500</v>
      </c>
      <c r="M52" s="4"/>
      <c r="N52" s="4"/>
      <c r="O52" s="4"/>
      <c r="P52" s="4"/>
      <c r="Q52" s="4"/>
    </row>
    <row r="53" spans="1:17" x14ac:dyDescent="0.4">
      <c r="A53" s="2" t="s">
        <v>255</v>
      </c>
      <c r="B53" s="2" t="s">
        <v>239</v>
      </c>
      <c r="C53" s="2">
        <v>160</v>
      </c>
      <c r="D53" s="4"/>
      <c r="E53" s="4">
        <f>(3000+5120)/2</f>
        <v>4060</v>
      </c>
      <c r="F53" s="4"/>
      <c r="G53" s="4"/>
      <c r="H53" s="4"/>
      <c r="I53" s="4"/>
      <c r="J53" s="4">
        <v>5040</v>
      </c>
      <c r="K53" s="4"/>
      <c r="L53" s="4">
        <v>4800</v>
      </c>
      <c r="M53" s="4"/>
      <c r="N53" s="4"/>
      <c r="O53" s="4"/>
      <c r="P53" s="4"/>
      <c r="Q53" s="4"/>
    </row>
    <row r="54" spans="1:17" x14ac:dyDescent="0.4">
      <c r="A54" s="2" t="s">
        <v>255</v>
      </c>
      <c r="B54" s="2" t="s">
        <v>277</v>
      </c>
      <c r="C54" s="2">
        <v>160</v>
      </c>
      <c r="D54" s="4"/>
      <c r="E54" s="4">
        <f>(3680+3200*2)/3</f>
        <v>3360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4">
      <c r="A55" s="2" t="s">
        <v>256</v>
      </c>
      <c r="B55" s="2" t="s">
        <v>241</v>
      </c>
      <c r="C55" s="2">
        <v>100</v>
      </c>
      <c r="D55" s="4"/>
      <c r="E55" s="4">
        <f>(7000*2+8500*2+9000*2+8000+7500)/8</f>
        <v>8062.5</v>
      </c>
      <c r="F55" s="4"/>
      <c r="G55" s="4">
        <v>8250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4">
      <c r="A56" s="2" t="s">
        <v>256</v>
      </c>
      <c r="B56" s="2" t="s">
        <v>243</v>
      </c>
      <c r="C56" s="2">
        <v>100</v>
      </c>
      <c r="D56" s="4"/>
      <c r="E56" s="4"/>
      <c r="F56" s="4"/>
      <c r="G56" s="4">
        <v>6000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4">
      <c r="A57" s="2" t="s">
        <v>256</v>
      </c>
      <c r="B57" s="2" t="s">
        <v>239</v>
      </c>
      <c r="C57" s="2">
        <v>160</v>
      </c>
      <c r="D57" s="4"/>
      <c r="E57" s="4"/>
      <c r="F57" s="4"/>
      <c r="G57" s="4">
        <v>6000</v>
      </c>
      <c r="H57" s="4"/>
      <c r="I57" s="4"/>
      <c r="J57" s="4">
        <v>5600</v>
      </c>
      <c r="K57" s="4"/>
      <c r="L57" s="4"/>
      <c r="M57" s="4"/>
      <c r="N57" s="4"/>
      <c r="O57" s="4"/>
      <c r="P57" s="4"/>
      <c r="Q57" s="4"/>
    </row>
    <row r="58" spans="1:17" x14ac:dyDescent="0.4">
      <c r="A58" s="2" t="s">
        <v>257</v>
      </c>
      <c r="B58" s="2" t="s">
        <v>241</v>
      </c>
      <c r="C58" s="2">
        <v>100</v>
      </c>
      <c r="D58" s="4"/>
      <c r="E58" s="4">
        <v>9000</v>
      </c>
      <c r="F58" s="4"/>
      <c r="G58" s="4">
        <v>9500</v>
      </c>
      <c r="H58" s="4"/>
      <c r="I58" s="4"/>
      <c r="J58" s="4">
        <v>9250</v>
      </c>
      <c r="K58" s="4"/>
      <c r="L58" s="4"/>
      <c r="M58" s="4"/>
      <c r="N58" s="4"/>
      <c r="O58" s="4"/>
      <c r="P58" s="4"/>
      <c r="Q58" s="4"/>
    </row>
    <row r="59" spans="1:17" x14ac:dyDescent="0.4">
      <c r="A59" s="2" t="s">
        <v>257</v>
      </c>
      <c r="B59" s="2" t="s">
        <v>243</v>
      </c>
      <c r="C59" s="2">
        <v>100</v>
      </c>
      <c r="D59" s="4"/>
      <c r="E59" s="4"/>
      <c r="F59" s="4"/>
      <c r="G59" s="4"/>
      <c r="H59" s="4"/>
      <c r="I59" s="4"/>
      <c r="J59" s="4">
        <v>7500</v>
      </c>
      <c r="K59" s="4"/>
      <c r="L59" s="4"/>
      <c r="M59" s="4"/>
      <c r="N59" s="4"/>
      <c r="O59" s="4"/>
      <c r="P59" s="4"/>
      <c r="Q59" s="4"/>
    </row>
    <row r="60" spans="1:17" x14ac:dyDescent="0.4">
      <c r="A60" s="2" t="s">
        <v>257</v>
      </c>
      <c r="B60" s="2" t="s">
        <v>239</v>
      </c>
      <c r="C60" s="2">
        <v>160</v>
      </c>
      <c r="D60" s="4"/>
      <c r="E60" s="4"/>
      <c r="F60" s="4"/>
      <c r="G60" s="4"/>
      <c r="H60" s="4"/>
      <c r="I60" s="4"/>
      <c r="J60" s="4">
        <v>7733</v>
      </c>
      <c r="K60" s="4"/>
      <c r="L60" s="4"/>
      <c r="M60" s="4"/>
      <c r="N60" s="4"/>
      <c r="O60" s="4"/>
      <c r="P60" s="4"/>
      <c r="Q60" s="4"/>
    </row>
    <row r="61" spans="1:17" x14ac:dyDescent="0.4">
      <c r="A61" s="2" t="s">
        <v>257</v>
      </c>
      <c r="B61" s="2" t="s">
        <v>277</v>
      </c>
      <c r="C61" s="2">
        <v>160</v>
      </c>
      <c r="D61" s="4"/>
      <c r="E61" s="4"/>
      <c r="F61" s="4"/>
      <c r="G61" s="4"/>
      <c r="H61" s="4"/>
      <c r="I61" s="4"/>
      <c r="J61" s="4">
        <v>6000</v>
      </c>
      <c r="K61" s="4"/>
      <c r="L61" s="4"/>
      <c r="M61" s="4"/>
      <c r="N61" s="4"/>
      <c r="O61" s="4"/>
      <c r="P61" s="4"/>
      <c r="Q61" s="4"/>
    </row>
    <row r="62" spans="1:17" x14ac:dyDescent="0.4">
      <c r="A62" s="2" t="s">
        <v>258</v>
      </c>
      <c r="B62" s="2" t="s">
        <v>241</v>
      </c>
      <c r="C62" s="2">
        <v>100</v>
      </c>
      <c r="D62" s="4"/>
      <c r="E62" s="4">
        <v>8750</v>
      </c>
      <c r="F62" s="4"/>
      <c r="G62" s="4">
        <v>8500</v>
      </c>
      <c r="H62" s="4"/>
      <c r="I62" s="4"/>
      <c r="J62" s="4">
        <v>5500</v>
      </c>
      <c r="K62" s="4"/>
      <c r="L62" s="4">
        <v>6000</v>
      </c>
      <c r="M62" s="4"/>
      <c r="N62" s="4"/>
      <c r="O62" s="4"/>
      <c r="P62" s="4"/>
      <c r="Q62" s="4">
        <v>9000</v>
      </c>
    </row>
    <row r="63" spans="1:17" x14ac:dyDescent="0.4">
      <c r="A63" s="2" t="s">
        <v>258</v>
      </c>
      <c r="B63" s="2" t="s">
        <v>243</v>
      </c>
      <c r="C63" s="2">
        <v>100</v>
      </c>
      <c r="D63" s="4"/>
      <c r="E63" s="4">
        <f>(7000+4000+5700*2)/4</f>
        <v>5600</v>
      </c>
      <c r="F63" s="4"/>
      <c r="G63" s="4">
        <v>5166</v>
      </c>
      <c r="H63" s="4"/>
      <c r="I63" s="4"/>
      <c r="J63" s="4">
        <f>(5500*2+4000+6000*2+4000)/6</f>
        <v>5166.666666666667</v>
      </c>
      <c r="K63" s="4"/>
      <c r="L63" s="4">
        <f>(3000+4000+5500*2)/4</f>
        <v>4500</v>
      </c>
      <c r="M63" s="4"/>
      <c r="N63" s="4">
        <v>4000</v>
      </c>
      <c r="O63" s="4"/>
      <c r="P63" s="4"/>
      <c r="Q63" s="4">
        <f>(7000+6000+6000+5000+7500+6500)/6</f>
        <v>6333.333333333333</v>
      </c>
    </row>
    <row r="64" spans="1:17" x14ac:dyDescent="0.4">
      <c r="A64" s="2" t="s">
        <v>258</v>
      </c>
      <c r="B64" s="2" t="s">
        <v>239</v>
      </c>
      <c r="C64" s="2">
        <v>160</v>
      </c>
      <c r="D64" s="4"/>
      <c r="E64" s="4">
        <v>4800</v>
      </c>
      <c r="F64" s="4"/>
      <c r="G64" s="4">
        <v>3200</v>
      </c>
      <c r="H64" s="4"/>
      <c r="I64" s="4"/>
      <c r="J64" s="4">
        <v>5600</v>
      </c>
      <c r="K64" s="4"/>
      <c r="L64" s="4">
        <f>(4800+5600)/2</f>
        <v>5200</v>
      </c>
      <c r="M64" s="4"/>
      <c r="N64" s="4">
        <v>5200</v>
      </c>
      <c r="O64" s="4"/>
      <c r="P64" s="4"/>
      <c r="Q64" s="4">
        <f>(6400+5600+6400+8000)/4</f>
        <v>6600</v>
      </c>
    </row>
    <row r="65" spans="1:17" x14ac:dyDescent="0.4">
      <c r="A65" s="2" t="s">
        <v>258</v>
      </c>
      <c r="B65" s="2" t="s">
        <v>277</v>
      </c>
      <c r="C65" s="2">
        <v>160</v>
      </c>
      <c r="D65" s="4"/>
      <c r="E65" s="4">
        <v>3200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4">
      <c r="A66" s="2" t="s">
        <v>259</v>
      </c>
      <c r="B66" s="2" t="s">
        <v>241</v>
      </c>
      <c r="C66" s="2">
        <v>100</v>
      </c>
      <c r="D66" s="4"/>
      <c r="E66" s="4">
        <f>(9000*4+8750*2)/6</f>
        <v>8916.6666666666661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4">
      <c r="A67" s="2" t="s">
        <v>259</v>
      </c>
      <c r="B67" s="2" t="s">
        <v>243</v>
      </c>
      <c r="C67" s="2">
        <v>100</v>
      </c>
      <c r="D67" s="4"/>
      <c r="E67" s="4">
        <f>(7000+6000*2+6700)/4</f>
        <v>6425</v>
      </c>
      <c r="F67" s="4"/>
      <c r="G67" s="4">
        <v>7250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4">
      <c r="A68" s="2" t="s">
        <v>259</v>
      </c>
      <c r="B68" s="2" t="s">
        <v>239</v>
      </c>
      <c r="C68" s="2">
        <v>160</v>
      </c>
      <c r="D68" s="4"/>
      <c r="E68" s="4"/>
      <c r="F68" s="4"/>
      <c r="G68" s="4">
        <v>6666</v>
      </c>
      <c r="H68" s="4"/>
      <c r="I68" s="4"/>
      <c r="J68" s="4">
        <v>7600</v>
      </c>
      <c r="K68" s="4"/>
      <c r="L68" s="4"/>
      <c r="M68" s="4"/>
      <c r="N68" s="4"/>
      <c r="O68" s="4"/>
      <c r="P68" s="4"/>
      <c r="Q68" s="4"/>
    </row>
    <row r="69" spans="1:17" x14ac:dyDescent="0.4">
      <c r="A69" s="2" t="s">
        <v>259</v>
      </c>
      <c r="B69" s="2" t="s">
        <v>277</v>
      </c>
      <c r="C69" s="2">
        <v>160</v>
      </c>
      <c r="D69" s="4"/>
      <c r="E69" s="4"/>
      <c r="F69" s="4"/>
      <c r="G69" s="4"/>
      <c r="H69" s="4"/>
      <c r="I69" s="4"/>
      <c r="J69" s="4">
        <v>4800</v>
      </c>
      <c r="K69" s="4"/>
      <c r="L69" s="4"/>
      <c r="M69" s="4"/>
      <c r="N69" s="4"/>
      <c r="O69" s="4"/>
      <c r="P69" s="4"/>
      <c r="Q69" s="4"/>
    </row>
    <row r="70" spans="1:17" x14ac:dyDescent="0.4">
      <c r="A70" s="2" t="s">
        <v>260</v>
      </c>
      <c r="B70" s="2" t="s">
        <v>241</v>
      </c>
      <c r="C70" s="2">
        <v>100</v>
      </c>
      <c r="D70" s="4"/>
      <c r="E70" s="4"/>
      <c r="F70" s="4"/>
      <c r="G70" s="4">
        <v>9000</v>
      </c>
      <c r="H70" s="4"/>
      <c r="I70" s="4"/>
      <c r="J70" s="4">
        <v>8500</v>
      </c>
      <c r="K70" s="4"/>
      <c r="L70" s="4">
        <v>7750</v>
      </c>
      <c r="M70" s="4"/>
      <c r="N70" s="4">
        <f>(7000+7750*2+7000*2+8500*3)/8</f>
        <v>7750</v>
      </c>
      <c r="O70" s="4"/>
      <c r="P70" s="4"/>
      <c r="Q70" s="4">
        <v>8000</v>
      </c>
    </row>
    <row r="71" spans="1:17" x14ac:dyDescent="0.4">
      <c r="A71" s="2" t="s">
        <v>260</v>
      </c>
      <c r="B71" s="2" t="s">
        <v>243</v>
      </c>
      <c r="C71" s="2">
        <v>100</v>
      </c>
      <c r="D71" s="4"/>
      <c r="E71" s="4"/>
      <c r="F71" s="4"/>
      <c r="G71" s="4"/>
      <c r="H71" s="4"/>
      <c r="I71" s="4"/>
      <c r="J71" s="4">
        <v>7000</v>
      </c>
      <c r="K71" s="4"/>
      <c r="L71" s="4">
        <v>6000</v>
      </c>
      <c r="M71" s="4"/>
      <c r="N71" s="4">
        <f>(7000+6000+7000+5500+7000)/5</f>
        <v>6500</v>
      </c>
      <c r="O71" s="4"/>
      <c r="P71" s="4"/>
      <c r="Q71" s="4">
        <f>(6000+6750*2+6500*2+6500)/6</f>
        <v>6500</v>
      </c>
    </row>
    <row r="72" spans="1:17" x14ac:dyDescent="0.4">
      <c r="A72" s="2" t="s">
        <v>260</v>
      </c>
      <c r="B72" s="2" t="s">
        <v>239</v>
      </c>
      <c r="C72" s="2">
        <v>160</v>
      </c>
      <c r="D72" s="4"/>
      <c r="E72" s="4"/>
      <c r="F72" s="4"/>
      <c r="G72" s="4"/>
      <c r="H72" s="4"/>
      <c r="I72" s="4"/>
      <c r="J72" s="4"/>
      <c r="K72" s="4"/>
      <c r="L72" s="4">
        <v>5600</v>
      </c>
      <c r="M72" s="4"/>
      <c r="N72" s="4">
        <v>5920</v>
      </c>
      <c r="O72" s="4"/>
      <c r="P72" s="4"/>
      <c r="Q72" s="4">
        <f>(6400+8680*2+6400+6400*2+8680*2)/8</f>
        <v>7540</v>
      </c>
    </row>
    <row r="73" spans="1:17" x14ac:dyDescent="0.4">
      <c r="A73" s="2" t="s">
        <v>260</v>
      </c>
      <c r="B73" s="2" t="s">
        <v>277</v>
      </c>
      <c r="C73" s="2">
        <v>160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v>6720</v>
      </c>
      <c r="O73" s="4"/>
      <c r="P73" s="4"/>
      <c r="Q73" s="4"/>
    </row>
    <row r="74" spans="1:17" x14ac:dyDescent="0.4">
      <c r="A74" s="2" t="s">
        <v>261</v>
      </c>
      <c r="B74" s="2" t="s">
        <v>241</v>
      </c>
      <c r="C74" s="2">
        <v>100</v>
      </c>
      <c r="D74" s="4"/>
      <c r="E74" s="4"/>
      <c r="F74" s="4"/>
      <c r="G74" s="4">
        <v>9000</v>
      </c>
      <c r="H74" s="4"/>
      <c r="I74" s="4"/>
      <c r="J74" s="4">
        <f>(8000*2+8500*3+9000+8000+8500*2+9000)/10</f>
        <v>8450</v>
      </c>
      <c r="K74" s="4"/>
      <c r="L74" s="4">
        <f>(8000+7000+9000*2)/4</f>
        <v>8250</v>
      </c>
      <c r="M74" s="4"/>
      <c r="N74" s="4">
        <v>8000</v>
      </c>
      <c r="O74" s="4"/>
      <c r="P74" s="4"/>
      <c r="Q74" s="4">
        <f>(8000*4+7000*4+8750*4+8000+7650*2+8500*2+8000*2)/19</f>
        <v>7963.1578947368425</v>
      </c>
    </row>
    <row r="75" spans="1:17" x14ac:dyDescent="0.4">
      <c r="A75" s="2" t="s">
        <v>261</v>
      </c>
      <c r="B75" s="2" t="s">
        <v>243</v>
      </c>
      <c r="C75" s="2">
        <v>100</v>
      </c>
      <c r="D75" s="4"/>
      <c r="E75" s="4"/>
      <c r="F75" s="4"/>
      <c r="G75" s="4"/>
      <c r="H75" s="4"/>
      <c r="I75" s="4"/>
      <c r="J75" s="4">
        <v>6500</v>
      </c>
      <c r="K75" s="4"/>
      <c r="L75" s="4">
        <f>(6000+6000+5600)/3</f>
        <v>5866.666666666667</v>
      </c>
      <c r="M75" s="4"/>
      <c r="N75" s="4">
        <f>(6500+5500+6750+5500+6750)/5</f>
        <v>6200</v>
      </c>
      <c r="O75" s="4"/>
      <c r="P75" s="4"/>
      <c r="Q75" s="4">
        <f>(6000+5800+6000+8000)/4</f>
        <v>6450</v>
      </c>
    </row>
    <row r="76" spans="1:17" x14ac:dyDescent="0.4">
      <c r="A76" s="2" t="s">
        <v>261</v>
      </c>
      <c r="B76" s="2" t="s">
        <v>239</v>
      </c>
      <c r="C76" s="2">
        <v>160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f>(6400*2+8800*2)/4</f>
        <v>7600</v>
      </c>
      <c r="O76" s="4"/>
      <c r="P76" s="4"/>
      <c r="Q76" s="4">
        <f>(4800+8800)/2</f>
        <v>6800</v>
      </c>
    </row>
    <row r="77" spans="1:17" x14ac:dyDescent="0.4">
      <c r="A77" s="2" t="s">
        <v>262</v>
      </c>
      <c r="B77" s="2" t="s">
        <v>241</v>
      </c>
      <c r="C77" s="2">
        <v>100</v>
      </c>
      <c r="D77" s="4"/>
      <c r="E77" s="4">
        <v>10000</v>
      </c>
      <c r="F77" s="4"/>
      <c r="G77" s="4"/>
      <c r="H77" s="4"/>
      <c r="I77" s="4"/>
      <c r="J77" s="4">
        <v>10500</v>
      </c>
      <c r="K77" s="4"/>
      <c r="L77" s="4">
        <v>9750</v>
      </c>
      <c r="M77" s="4"/>
      <c r="N77" s="4">
        <f>(9500*2+9000+9500*2)/5</f>
        <v>9400</v>
      </c>
      <c r="O77" s="4"/>
      <c r="P77" s="4"/>
      <c r="Q77" s="4">
        <v>9250</v>
      </c>
    </row>
    <row r="78" spans="1:17" x14ac:dyDescent="0.4">
      <c r="A78" s="2" t="s">
        <v>262</v>
      </c>
      <c r="B78" s="2" t="s">
        <v>263</v>
      </c>
      <c r="C78" s="2">
        <v>100</v>
      </c>
      <c r="D78" s="4"/>
      <c r="E78" s="4">
        <v>7500</v>
      </c>
      <c r="F78" s="4"/>
      <c r="G78" s="4">
        <v>8000</v>
      </c>
      <c r="H78" s="4"/>
      <c r="I78" s="4"/>
      <c r="J78" s="4"/>
      <c r="K78" s="4"/>
      <c r="L78" s="4"/>
      <c r="M78" s="4"/>
      <c r="N78" s="4">
        <v>7500</v>
      </c>
      <c r="O78" s="4"/>
      <c r="P78" s="4"/>
      <c r="Q78" s="4">
        <f>(7750*2+7000)/3</f>
        <v>7500</v>
      </c>
    </row>
    <row r="79" spans="1:17" x14ac:dyDescent="0.4">
      <c r="A79" s="2" t="s">
        <v>262</v>
      </c>
      <c r="B79" s="2" t="s">
        <v>264</v>
      </c>
      <c r="C79" s="2">
        <v>160</v>
      </c>
      <c r="D79" s="4"/>
      <c r="E79" s="4"/>
      <c r="F79" s="4"/>
      <c r="G79" s="4">
        <v>7200</v>
      </c>
      <c r="H79" s="4"/>
      <c r="I79" s="4"/>
      <c r="J79" s="4"/>
      <c r="K79" s="4"/>
      <c r="L79" s="4"/>
      <c r="M79" s="4"/>
      <c r="N79" s="4"/>
      <c r="O79" s="4"/>
      <c r="P79" s="4"/>
      <c r="Q79" s="4">
        <v>8800</v>
      </c>
    </row>
    <row r="80" spans="1:17" x14ac:dyDescent="0.4">
      <c r="A80" s="2" t="s">
        <v>271</v>
      </c>
      <c r="B80" s="2" t="s">
        <v>272</v>
      </c>
      <c r="C80" s="2">
        <v>100</v>
      </c>
      <c r="D80" s="4"/>
      <c r="E80" s="4"/>
      <c r="F80" s="4"/>
      <c r="G80" s="4"/>
      <c r="H80" s="4"/>
      <c r="I80" s="4"/>
      <c r="J80" s="4">
        <f>(7000*2+8000*2+7750*2+7800+7500*2+8000*2+7500*3+7000+7800)/16</f>
        <v>7600</v>
      </c>
      <c r="K80" s="4"/>
      <c r="L80" s="4">
        <v>7166</v>
      </c>
      <c r="M80" s="4"/>
      <c r="N80" s="4">
        <v>6500</v>
      </c>
      <c r="O80" s="4"/>
      <c r="P80" s="4"/>
      <c r="Q80" s="4"/>
    </row>
    <row r="81" spans="1:17" x14ac:dyDescent="0.4">
      <c r="A81" s="2" t="s">
        <v>271</v>
      </c>
      <c r="B81" s="2" t="s">
        <v>273</v>
      </c>
      <c r="C81" s="2">
        <v>100</v>
      </c>
      <c r="D81" s="4"/>
      <c r="E81" s="4"/>
      <c r="F81" s="4"/>
      <c r="G81" s="4"/>
      <c r="H81" s="4"/>
      <c r="I81" s="4"/>
      <c r="J81" s="4">
        <f>(5500+5500+6500+4750*2+6100*2+5000+5000)/9</f>
        <v>5466.666666666667</v>
      </c>
      <c r="K81" s="4"/>
      <c r="L81" s="4">
        <f>(4250*2+5500+3600+5000+3000+5000)/7</f>
        <v>4371.4285714285716</v>
      </c>
      <c r="M81" s="4"/>
      <c r="N81" s="4">
        <f>(5000*2+6500*2+5000+5100*2)/7</f>
        <v>5457.1428571428569</v>
      </c>
      <c r="O81" s="4"/>
      <c r="P81" s="4"/>
      <c r="Q81" s="4">
        <v>7500</v>
      </c>
    </row>
    <row r="82" spans="1:17" x14ac:dyDescent="0.4">
      <c r="A82" s="2" t="s">
        <v>271</v>
      </c>
      <c r="B82" s="2" t="s">
        <v>264</v>
      </c>
      <c r="C82" s="2">
        <v>160</v>
      </c>
      <c r="D82" s="4"/>
      <c r="E82" s="4"/>
      <c r="F82" s="4"/>
      <c r="G82" s="4"/>
      <c r="H82" s="4"/>
      <c r="I82" s="4"/>
      <c r="J82" s="4"/>
      <c r="K82" s="4"/>
      <c r="L82" s="4">
        <f>(4800+5600+4800*2)/4</f>
        <v>5000</v>
      </c>
      <c r="M82" s="4"/>
      <c r="N82" s="4">
        <f>(4800+8800)/2</f>
        <v>6800</v>
      </c>
      <c r="O82" s="4"/>
      <c r="P82" s="4"/>
      <c r="Q82" s="4">
        <f>(8000+6400)/2</f>
        <v>7200</v>
      </c>
    </row>
    <row r="83" spans="1:17" x14ac:dyDescent="0.4">
      <c r="A83" s="2" t="s">
        <v>271</v>
      </c>
      <c r="B83" s="2" t="s">
        <v>277</v>
      </c>
      <c r="C83" s="2">
        <v>160</v>
      </c>
      <c r="D83" s="4"/>
      <c r="E83" s="4">
        <v>3600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4">
      <c r="A84" s="2" t="s">
        <v>281</v>
      </c>
      <c r="B84" s="2" t="s">
        <v>272</v>
      </c>
      <c r="C84" s="2">
        <v>100</v>
      </c>
      <c r="D84" s="4"/>
      <c r="E84" s="4"/>
      <c r="F84" s="4"/>
      <c r="G84" s="4"/>
      <c r="H84" s="4"/>
      <c r="I84" s="4"/>
      <c r="J84" s="4">
        <v>8500</v>
      </c>
      <c r="K84" s="4"/>
      <c r="L84" s="4"/>
      <c r="M84" s="4"/>
      <c r="N84" s="4"/>
      <c r="O84" s="4"/>
      <c r="P84" s="4"/>
      <c r="Q84" s="4"/>
    </row>
    <row r="85" spans="1:17" x14ac:dyDescent="0.4">
      <c r="A85" s="2" t="s">
        <v>281</v>
      </c>
      <c r="B85" s="2" t="s">
        <v>273</v>
      </c>
      <c r="C85" s="2">
        <v>100</v>
      </c>
      <c r="D85" s="4"/>
      <c r="E85" s="4"/>
      <c r="F85" s="4"/>
      <c r="G85" s="4"/>
      <c r="H85" s="4"/>
      <c r="I85" s="4"/>
      <c r="J85" s="4">
        <v>5000</v>
      </c>
      <c r="K85" s="4"/>
      <c r="L85" s="4"/>
      <c r="M85" s="4"/>
      <c r="N85" s="4"/>
      <c r="O85" s="4"/>
      <c r="P85" s="4"/>
      <c r="Q85" s="4"/>
    </row>
    <row r="86" spans="1:17" x14ac:dyDescent="0.4">
      <c r="A86" s="2" t="s">
        <v>281</v>
      </c>
      <c r="B86" s="2" t="s">
        <v>264</v>
      </c>
      <c r="C86" s="2">
        <v>160</v>
      </c>
      <c r="D86" s="4"/>
      <c r="E86" s="4"/>
      <c r="F86" s="4"/>
      <c r="G86" s="4"/>
      <c r="H86" s="4"/>
      <c r="I86" s="4"/>
      <c r="J86" s="4">
        <v>5600</v>
      </c>
      <c r="K86" s="4"/>
      <c r="L86" s="4">
        <v>4800</v>
      </c>
      <c r="M86" s="4"/>
      <c r="N86" s="4">
        <v>5120</v>
      </c>
      <c r="O86" s="4"/>
      <c r="P86" s="4"/>
      <c r="Q86" s="4"/>
    </row>
    <row r="87" spans="1:17" x14ac:dyDescent="0.4">
      <c r="A87" s="2" t="s">
        <v>274</v>
      </c>
      <c r="B87" s="2" t="s">
        <v>272</v>
      </c>
      <c r="C87" s="2">
        <v>100</v>
      </c>
      <c r="D87" s="4"/>
      <c r="E87" s="4"/>
      <c r="F87" s="4"/>
      <c r="G87" s="4"/>
      <c r="H87" s="4"/>
      <c r="I87" s="4"/>
      <c r="J87" s="4">
        <f>(7000*2+8500+8000*2+7000+7000*2+8500*2+9000*2+7000+8500)/14</f>
        <v>7857.1428571428569</v>
      </c>
      <c r="K87" s="4"/>
      <c r="L87" s="4">
        <f>(7000+7000+6500+8500)/4</f>
        <v>7250</v>
      </c>
      <c r="M87" s="4"/>
      <c r="N87" s="4">
        <v>7500</v>
      </c>
      <c r="O87" s="4"/>
      <c r="P87" s="4"/>
      <c r="Q87" s="4">
        <f>(8000*2+8500+9600*2)/5</f>
        <v>8740</v>
      </c>
    </row>
    <row r="88" spans="1:17" x14ac:dyDescent="0.4">
      <c r="A88" s="2" t="s">
        <v>274</v>
      </c>
      <c r="B88" s="2" t="s">
        <v>273</v>
      </c>
      <c r="C88" s="2">
        <v>100</v>
      </c>
      <c r="D88" s="4"/>
      <c r="E88" s="4"/>
      <c r="F88" s="4"/>
      <c r="G88" s="4"/>
      <c r="H88" s="4"/>
      <c r="I88" s="4"/>
      <c r="J88" s="4">
        <v>6100</v>
      </c>
      <c r="K88" s="4"/>
      <c r="L88" s="4">
        <f>(4000+4500+4000+4600*2)/5</f>
        <v>4340</v>
      </c>
      <c r="M88" s="4"/>
      <c r="N88" s="4">
        <f>(4500+6000+6050+6050)/4</f>
        <v>5650</v>
      </c>
      <c r="O88" s="4"/>
      <c r="P88" s="4"/>
      <c r="Q88" s="4">
        <f>(8000+5000+6000+7500+7500*3)/7</f>
        <v>7000</v>
      </c>
    </row>
    <row r="89" spans="1:17" x14ac:dyDescent="0.4">
      <c r="A89" s="2" t="s">
        <v>274</v>
      </c>
      <c r="B89" s="2" t="s">
        <v>264</v>
      </c>
      <c r="C89" s="2">
        <v>160</v>
      </c>
      <c r="D89" s="4"/>
      <c r="E89" s="4"/>
      <c r="F89" s="4"/>
      <c r="G89" s="4"/>
      <c r="H89" s="4"/>
      <c r="I89" s="4"/>
      <c r="J89" s="4"/>
      <c r="K89" s="4"/>
      <c r="L89" s="4">
        <v>4800</v>
      </c>
      <c r="M89" s="4"/>
      <c r="N89" s="4">
        <f>(4800+7200+4800+7200)/4</f>
        <v>6000</v>
      </c>
      <c r="O89" s="4"/>
      <c r="P89" s="4"/>
      <c r="Q89" s="4">
        <v>8800</v>
      </c>
    </row>
    <row r="90" spans="1:17" x14ac:dyDescent="0.4">
      <c r="A90" s="2" t="s">
        <v>274</v>
      </c>
      <c r="B90" s="2" t="s">
        <v>277</v>
      </c>
      <c r="C90" s="2">
        <v>160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>
        <v>4160</v>
      </c>
    </row>
    <row r="91" spans="1:17" x14ac:dyDescent="0.4">
      <c r="A91" s="2" t="s">
        <v>275</v>
      </c>
      <c r="B91" s="2" t="s">
        <v>272</v>
      </c>
      <c r="C91" s="2">
        <v>100</v>
      </c>
      <c r="D91" s="4"/>
      <c r="E91" s="4"/>
      <c r="F91" s="4"/>
      <c r="G91" s="4"/>
      <c r="H91" s="4"/>
      <c r="I91" s="4"/>
      <c r="J91" s="4">
        <v>9000</v>
      </c>
      <c r="K91" s="4"/>
      <c r="L91" s="4">
        <f>(6000+8000*2+9000+8000+8500)/6</f>
        <v>7916.666666666667</v>
      </c>
      <c r="M91" s="4"/>
      <c r="N91" s="4">
        <f>(8000*3+7500+7500+8000*2+7500+8000)/9</f>
        <v>7833.333333333333</v>
      </c>
      <c r="O91" s="4"/>
      <c r="P91" s="4"/>
      <c r="Q91" s="4">
        <v>8000</v>
      </c>
    </row>
    <row r="92" spans="1:17" x14ac:dyDescent="0.4">
      <c r="A92" s="2" t="s">
        <v>275</v>
      </c>
      <c r="B92" s="2" t="s">
        <v>243</v>
      </c>
      <c r="C92" s="2">
        <v>100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>
        <f>(5500+7000)/2</f>
        <v>6250</v>
      </c>
      <c r="O92" s="4"/>
      <c r="P92" s="4"/>
      <c r="Q92" s="4">
        <f>(7000+6000+8000)/3</f>
        <v>7000</v>
      </c>
    </row>
    <row r="93" spans="1:17" x14ac:dyDescent="0.4">
      <c r="A93" s="2" t="s">
        <v>275</v>
      </c>
      <c r="B93" s="2" t="s">
        <v>239</v>
      </c>
      <c r="C93" s="2">
        <v>160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>
        <f>(6400+8800)/2</f>
        <v>7600</v>
      </c>
    </row>
    <row r="94" spans="1:17" x14ac:dyDescent="0.4">
      <c r="A94" s="2" t="s">
        <v>276</v>
      </c>
      <c r="B94" s="2" t="s">
        <v>272</v>
      </c>
      <c r="C94" s="2">
        <v>100</v>
      </c>
      <c r="D94" s="4"/>
      <c r="E94" s="4"/>
      <c r="F94" s="4"/>
      <c r="G94" s="4"/>
      <c r="H94" s="4"/>
      <c r="I94" s="4"/>
      <c r="J94" s="4"/>
      <c r="K94" s="4"/>
      <c r="L94" s="4">
        <v>7000</v>
      </c>
      <c r="M94" s="4"/>
      <c r="N94" s="4"/>
      <c r="O94" s="4"/>
      <c r="P94" s="4"/>
      <c r="Q94" s="4"/>
    </row>
    <row r="95" spans="1:17" x14ac:dyDescent="0.4">
      <c r="A95" s="2" t="s">
        <v>276</v>
      </c>
      <c r="B95" s="2" t="s">
        <v>273</v>
      </c>
      <c r="C95" s="2">
        <v>100</v>
      </c>
      <c r="D95" s="4"/>
      <c r="E95" s="4"/>
      <c r="F95" s="4"/>
      <c r="G95" s="4"/>
      <c r="H95" s="4"/>
      <c r="I95" s="4"/>
      <c r="J95" s="4">
        <v>6500</v>
      </c>
      <c r="K95" s="4"/>
      <c r="L95" s="4">
        <f>(6000+6550+6500+6550)/4</f>
        <v>6400</v>
      </c>
      <c r="M95" s="4"/>
      <c r="N95" s="4">
        <v>6500</v>
      </c>
      <c r="O95" s="4"/>
      <c r="P95" s="4"/>
      <c r="Q95" s="4"/>
    </row>
    <row r="96" spans="1:17" x14ac:dyDescent="0.4">
      <c r="A96" s="2" t="s">
        <v>276</v>
      </c>
      <c r="B96" s="2" t="s">
        <v>264</v>
      </c>
      <c r="C96" s="2">
        <v>160</v>
      </c>
      <c r="D96" s="4"/>
      <c r="E96" s="4"/>
      <c r="F96" s="4"/>
      <c r="G96" s="4"/>
      <c r="H96" s="4"/>
      <c r="I96" s="4"/>
      <c r="J96" s="4">
        <f>(6400*3+8640*2)/5</f>
        <v>7296</v>
      </c>
      <c r="K96" s="4"/>
      <c r="L96" s="4">
        <f>(7200+6400*2+6400*2+5760*2)/7</f>
        <v>6331.4285714285716</v>
      </c>
      <c r="M96" s="4"/>
      <c r="N96" s="4">
        <f>(6400+8800)/2</f>
        <v>7600</v>
      </c>
      <c r="O96" s="4"/>
      <c r="P96" s="4"/>
      <c r="Q96" s="4"/>
    </row>
    <row r="97" spans="1:17" x14ac:dyDescent="0.4">
      <c r="A97" s="2" t="s">
        <v>276</v>
      </c>
      <c r="B97" s="2" t="s">
        <v>277</v>
      </c>
      <c r="C97" s="2">
        <v>160</v>
      </c>
      <c r="D97" s="4"/>
      <c r="E97" s="4"/>
      <c r="F97" s="4"/>
      <c r="G97" s="4"/>
      <c r="H97" s="4"/>
      <c r="I97" s="4"/>
      <c r="J97" s="4"/>
      <c r="K97" s="4"/>
      <c r="L97" s="4">
        <f>(4800+5760*2)/3</f>
        <v>5440</v>
      </c>
      <c r="M97" s="4"/>
      <c r="N97" s="4">
        <f>(4800+3200+6400+7200*2)/5</f>
        <v>5760</v>
      </c>
      <c r="O97" s="4"/>
      <c r="P97" s="4"/>
      <c r="Q97" s="4">
        <f>(4800+5600)/2</f>
        <v>5200</v>
      </c>
    </row>
    <row r="98" spans="1:17" x14ac:dyDescent="0.4">
      <c r="A98" s="2" t="s">
        <v>282</v>
      </c>
      <c r="B98" s="2" t="s">
        <v>272</v>
      </c>
      <c r="C98" s="2">
        <v>100</v>
      </c>
      <c r="D98" s="4"/>
      <c r="E98" s="4"/>
      <c r="F98" s="4"/>
      <c r="G98" s="4"/>
      <c r="H98" s="4"/>
      <c r="I98" s="4"/>
      <c r="J98" s="4">
        <v>7100</v>
      </c>
      <c r="K98" s="4"/>
      <c r="L98" s="4"/>
      <c r="M98" s="4"/>
      <c r="N98" s="4"/>
      <c r="O98" s="4"/>
      <c r="P98" s="4"/>
      <c r="Q98" s="4"/>
    </row>
    <row r="99" spans="1:17" x14ac:dyDescent="0.4">
      <c r="A99" s="2" t="s">
        <v>282</v>
      </c>
      <c r="B99" s="2" t="s">
        <v>273</v>
      </c>
      <c r="C99" s="2">
        <v>100</v>
      </c>
      <c r="D99" s="4"/>
      <c r="E99" s="4"/>
      <c r="F99" s="4"/>
      <c r="G99" s="4"/>
      <c r="H99" s="4"/>
      <c r="I99" s="4"/>
      <c r="J99" s="4">
        <v>5612</v>
      </c>
      <c r="K99" s="4"/>
      <c r="L99" s="4">
        <f>(4000+4000+5500)/3</f>
        <v>4500</v>
      </c>
      <c r="M99" s="4"/>
      <c r="N99" s="4"/>
      <c r="O99" s="4"/>
      <c r="P99" s="4"/>
      <c r="Q99" s="4"/>
    </row>
    <row r="100" spans="1:17" x14ac:dyDescent="0.4">
      <c r="A100" s="2" t="s">
        <v>282</v>
      </c>
      <c r="B100" s="2" t="s">
        <v>264</v>
      </c>
      <c r="C100" s="2">
        <v>160</v>
      </c>
      <c r="D100" s="4"/>
      <c r="E100" s="4"/>
      <c r="F100" s="4"/>
      <c r="G100" s="4"/>
      <c r="H100" s="4"/>
      <c r="I100" s="4"/>
      <c r="J100" s="4">
        <v>7600</v>
      </c>
      <c r="K100" s="4"/>
      <c r="L100" s="4">
        <f>(3200+5600*2+4800*2)/5</f>
        <v>4800</v>
      </c>
      <c r="M100" s="4"/>
      <c r="N100" s="4">
        <v>8800</v>
      </c>
      <c r="O100" s="4"/>
      <c r="P100" s="4"/>
      <c r="Q100" s="4"/>
    </row>
    <row r="101" spans="1:17" x14ac:dyDescent="0.4">
      <c r="A101" s="2" t="s">
        <v>282</v>
      </c>
      <c r="B101" s="2" t="s">
        <v>277</v>
      </c>
      <c r="C101" s="2">
        <v>160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>
        <v>4000</v>
      </c>
      <c r="O101" s="4"/>
      <c r="P101" s="4"/>
      <c r="Q101" s="4"/>
    </row>
    <row r="102" spans="1:17" x14ac:dyDescent="0.4">
      <c r="A102" s="2" t="s">
        <v>283</v>
      </c>
      <c r="B102" s="2" t="s">
        <v>272</v>
      </c>
      <c r="C102" s="2">
        <v>100</v>
      </c>
      <c r="D102" s="4"/>
      <c r="E102" s="4"/>
      <c r="F102" s="4"/>
      <c r="G102" s="4"/>
      <c r="H102" s="4"/>
      <c r="I102" s="4"/>
      <c r="J102" s="4"/>
      <c r="K102" s="4"/>
      <c r="L102" s="4">
        <f>(7000*2+7000+6500)/4</f>
        <v>6875</v>
      </c>
      <c r="M102" s="4"/>
      <c r="N102" s="4">
        <f>(7000*2+6500*2)/4</f>
        <v>6750</v>
      </c>
      <c r="O102" s="4"/>
      <c r="P102" s="4"/>
      <c r="Q102" s="4"/>
    </row>
    <row r="103" spans="1:17" x14ac:dyDescent="0.4">
      <c r="A103" s="2" t="s">
        <v>283</v>
      </c>
      <c r="B103" s="2" t="s">
        <v>243</v>
      </c>
      <c r="C103" s="2">
        <v>100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>
        <f>(4000+5000+5000+6000+4500+5000*2)/7</f>
        <v>4928.5714285714284</v>
      </c>
      <c r="O103" s="4"/>
      <c r="P103" s="4"/>
      <c r="Q103" s="4">
        <f>(7000+6000+7500)/3</f>
        <v>6833.333333333333</v>
      </c>
    </row>
    <row r="104" spans="1:17" x14ac:dyDescent="0.4">
      <c r="A104" s="2" t="s">
        <v>283</v>
      </c>
      <c r="B104" s="2" t="s">
        <v>239</v>
      </c>
      <c r="C104" s="2">
        <v>160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>
        <f>(4800+5120)/2</f>
        <v>4960</v>
      </c>
      <c r="O104" s="4"/>
      <c r="P104" s="4"/>
      <c r="Q104" s="4">
        <f>(7200+6400+5600+5600)/4</f>
        <v>6200</v>
      </c>
    </row>
    <row r="105" spans="1:17" x14ac:dyDescent="0.4">
      <c r="A105" s="2" t="s">
        <v>284</v>
      </c>
      <c r="B105" s="2" t="s">
        <v>272</v>
      </c>
      <c r="C105" s="2">
        <v>100</v>
      </c>
      <c r="D105" s="4"/>
      <c r="E105" s="4"/>
      <c r="F105" s="4"/>
      <c r="G105" s="4"/>
      <c r="H105" s="4"/>
      <c r="I105" s="4"/>
      <c r="J105" s="4"/>
      <c r="K105" s="4"/>
      <c r="L105" s="4">
        <v>7000</v>
      </c>
      <c r="M105" s="4"/>
      <c r="N105" s="4">
        <v>8500</v>
      </c>
      <c r="O105" s="4"/>
      <c r="P105" s="4"/>
      <c r="Q105" s="4">
        <v>8000</v>
      </c>
    </row>
    <row r="106" spans="1:17" x14ac:dyDescent="0.4">
      <c r="A106" s="2" t="s">
        <v>309</v>
      </c>
      <c r="B106" s="2" t="s">
        <v>310</v>
      </c>
      <c r="C106" s="2">
        <v>100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>
        <f>(6500+7500)/2</f>
        <v>7000</v>
      </c>
    </row>
    <row r="107" spans="1:17" x14ac:dyDescent="0.4">
      <c r="A107" s="2" t="s">
        <v>285</v>
      </c>
      <c r="B107" s="2" t="s">
        <v>272</v>
      </c>
      <c r="C107" s="2">
        <v>100</v>
      </c>
      <c r="D107" s="4"/>
      <c r="E107" s="4"/>
      <c r="F107" s="4"/>
      <c r="G107" s="4"/>
      <c r="H107" s="4"/>
      <c r="I107" s="4"/>
      <c r="J107" s="4"/>
      <c r="K107" s="4"/>
      <c r="L107" s="4">
        <v>8500</v>
      </c>
      <c r="M107" s="4"/>
      <c r="N107" s="4"/>
      <c r="O107" s="4"/>
      <c r="P107" s="4"/>
      <c r="Q107" s="4"/>
    </row>
    <row r="108" spans="1:17" x14ac:dyDescent="0.4">
      <c r="A108" s="2" t="s">
        <v>285</v>
      </c>
      <c r="B108" s="2" t="s">
        <v>273</v>
      </c>
      <c r="C108" s="2">
        <v>100</v>
      </c>
      <c r="D108" s="4"/>
      <c r="E108" s="4"/>
      <c r="F108" s="4"/>
      <c r="G108" s="4"/>
      <c r="H108" s="4"/>
      <c r="I108" s="4"/>
      <c r="J108" s="4"/>
      <c r="K108" s="4"/>
      <c r="L108" s="4">
        <v>5750</v>
      </c>
      <c r="M108" s="4"/>
      <c r="N108" s="4">
        <f>(6000+6500+6000+7100)/4</f>
        <v>6400</v>
      </c>
      <c r="O108" s="4"/>
      <c r="P108" s="4"/>
      <c r="Q108" s="4"/>
    </row>
    <row r="109" spans="1:17" x14ac:dyDescent="0.4">
      <c r="A109" s="2" t="s">
        <v>285</v>
      </c>
      <c r="B109" s="2" t="s">
        <v>239</v>
      </c>
      <c r="C109" s="2">
        <v>160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>
        <v>8960</v>
      </c>
    </row>
    <row r="110" spans="1:17" x14ac:dyDescent="0.4">
      <c r="A110" s="2" t="s">
        <v>286</v>
      </c>
      <c r="B110" s="2" t="s">
        <v>272</v>
      </c>
      <c r="C110" s="2">
        <v>100</v>
      </c>
      <c r="D110" s="4"/>
      <c r="E110" s="4"/>
      <c r="F110" s="4"/>
      <c r="G110" s="4"/>
      <c r="H110" s="4"/>
      <c r="I110" s="4"/>
      <c r="J110" s="4"/>
      <c r="K110" s="4"/>
      <c r="L110" s="4">
        <f>(8000*3+9500)/4</f>
        <v>8375</v>
      </c>
      <c r="M110" s="4"/>
      <c r="N110" s="4">
        <f>(8000*2+7000*2+8500+8000+8000+8500+7833*2+8000*4+7000*5+8200*5+8000*2+7750*2+8500*2+7833*4)/34</f>
        <v>7838.1764705882351</v>
      </c>
      <c r="O110" s="4"/>
      <c r="P110" s="4"/>
      <c r="Q110" s="4">
        <v>8000</v>
      </c>
    </row>
    <row r="111" spans="1:17" x14ac:dyDescent="0.4">
      <c r="A111" s="2" t="s">
        <v>286</v>
      </c>
      <c r="B111" s="2" t="s">
        <v>243</v>
      </c>
      <c r="C111" s="2">
        <v>100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>
        <f>(6500+7000+6000*2+5850*2+5650*2+7500+7000*2)/11</f>
        <v>6363.636363636364</v>
      </c>
      <c r="O111" s="4"/>
      <c r="P111" s="4"/>
      <c r="Q111" s="4">
        <f>(5000+6000*2+6500+6000*2+7250*2+7000*3)/11</f>
        <v>6454.545454545455</v>
      </c>
    </row>
    <row r="112" spans="1:17" x14ac:dyDescent="0.4">
      <c r="A112" s="2" t="s">
        <v>286</v>
      </c>
      <c r="B112" s="2" t="s">
        <v>239</v>
      </c>
      <c r="C112" s="2">
        <v>160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>
        <v>8800</v>
      </c>
      <c r="O112" s="4"/>
      <c r="P112" s="4"/>
      <c r="Q112" s="4">
        <f>(6400+6400*2+6400*2+9600+8000*4+8000)/11</f>
        <v>7418.181818181818</v>
      </c>
    </row>
    <row r="113" spans="1:17" x14ac:dyDescent="0.4">
      <c r="A113" s="2" t="s">
        <v>287</v>
      </c>
      <c r="B113" s="2" t="s">
        <v>241</v>
      </c>
      <c r="C113" s="2">
        <v>100</v>
      </c>
      <c r="D113" s="4"/>
      <c r="E113" s="4"/>
      <c r="F113" s="4"/>
      <c r="G113" s="4"/>
      <c r="H113" s="4"/>
      <c r="I113" s="4"/>
      <c r="J113" s="4"/>
      <c r="K113" s="4"/>
      <c r="L113" s="4">
        <v>7500</v>
      </c>
      <c r="M113" s="4"/>
      <c r="N113" s="4">
        <f>(8000*2+7000+8500)/4</f>
        <v>7875</v>
      </c>
      <c r="O113" s="4"/>
      <c r="P113" s="4"/>
      <c r="Q113" s="4">
        <f>(8000+7500)/2</f>
        <v>7750</v>
      </c>
    </row>
    <row r="114" spans="1:17" x14ac:dyDescent="0.4">
      <c r="A114" s="2" t="s">
        <v>287</v>
      </c>
      <c r="B114" s="2" t="s">
        <v>243</v>
      </c>
      <c r="C114" s="2">
        <v>100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>
        <v>7000</v>
      </c>
      <c r="O114" s="4"/>
      <c r="P114" s="4"/>
      <c r="Q114" s="4">
        <v>6000</v>
      </c>
    </row>
    <row r="115" spans="1:17" x14ac:dyDescent="0.4">
      <c r="A115" s="2" t="s">
        <v>287</v>
      </c>
      <c r="B115" s="2" t="s">
        <v>239</v>
      </c>
      <c r="C115" s="2">
        <v>160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>
        <v>8960</v>
      </c>
    </row>
    <row r="116" spans="1:17" x14ac:dyDescent="0.4">
      <c r="A116" s="2" t="s">
        <v>288</v>
      </c>
      <c r="B116" s="2" t="s">
        <v>272</v>
      </c>
      <c r="C116" s="2">
        <v>100</v>
      </c>
      <c r="D116" s="4"/>
      <c r="E116" s="4"/>
      <c r="F116" s="4"/>
      <c r="G116" s="4"/>
      <c r="H116" s="4"/>
      <c r="I116" s="4"/>
      <c r="J116" s="4"/>
      <c r="K116" s="4"/>
      <c r="L116" s="4">
        <f>(8000+9000+8000)/3</f>
        <v>8333.3333333333339</v>
      </c>
      <c r="M116" s="4"/>
      <c r="N116" s="4">
        <f>(7000+7000*2+8000*2+7000)/6</f>
        <v>7333.333333333333</v>
      </c>
      <c r="O116" s="4"/>
      <c r="P116" s="4"/>
      <c r="Q116" s="4">
        <f>(8000+7500*2+8500*2)/5</f>
        <v>8000</v>
      </c>
    </row>
    <row r="117" spans="1:17" x14ac:dyDescent="0.4">
      <c r="A117" s="2" t="s">
        <v>288</v>
      </c>
      <c r="B117" s="2" t="s">
        <v>243</v>
      </c>
      <c r="C117" s="2">
        <v>100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>
        <f>(6750+6500+6750)/3</f>
        <v>6666.666666666667</v>
      </c>
      <c r="O117" s="4"/>
      <c r="P117" s="4"/>
      <c r="Q117" s="4">
        <f>(6000+6500*2+6000+7166*2+6000+7166)/6</f>
        <v>8749.6666666666661</v>
      </c>
    </row>
    <row r="118" spans="1:17" x14ac:dyDescent="0.4">
      <c r="A118" s="2" t="s">
        <v>288</v>
      </c>
      <c r="B118" s="2" t="s">
        <v>239</v>
      </c>
      <c r="C118" s="2">
        <v>160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>
        <f>(8266+6400+8266*2)/4</f>
        <v>7799.5</v>
      </c>
    </row>
    <row r="119" spans="1:17" x14ac:dyDescent="0.4">
      <c r="A119" s="2" t="s">
        <v>289</v>
      </c>
      <c r="B119" s="2" t="s">
        <v>272</v>
      </c>
      <c r="C119" s="2">
        <v>100</v>
      </c>
      <c r="D119" s="4"/>
      <c r="E119" s="4"/>
      <c r="F119" s="4"/>
      <c r="G119" s="4"/>
      <c r="H119" s="4"/>
      <c r="I119" s="4"/>
      <c r="J119" s="4"/>
      <c r="K119" s="4"/>
      <c r="L119" s="4">
        <v>8500</v>
      </c>
      <c r="M119" s="4"/>
      <c r="N119" s="4">
        <f>(10000+8500+9000*2)/4</f>
        <v>9125</v>
      </c>
      <c r="O119" s="4"/>
      <c r="P119" s="4"/>
      <c r="Q119" s="4">
        <v>9000</v>
      </c>
    </row>
    <row r="120" spans="1:17" x14ac:dyDescent="0.4">
      <c r="A120" s="2" t="s">
        <v>289</v>
      </c>
      <c r="B120" s="2" t="s">
        <v>243</v>
      </c>
      <c r="C120" s="2">
        <v>100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>
        <v>7500</v>
      </c>
    </row>
    <row r="121" spans="1:17" x14ac:dyDescent="0.4">
      <c r="A121" s="2" t="s">
        <v>289</v>
      </c>
      <c r="B121" s="2" t="s">
        <v>239</v>
      </c>
      <c r="C121" s="2">
        <v>160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>
        <v>8800</v>
      </c>
    </row>
    <row r="122" spans="1:17" x14ac:dyDescent="0.4">
      <c r="A122" s="2" t="s">
        <v>290</v>
      </c>
      <c r="B122" s="2" t="s">
        <v>272</v>
      </c>
      <c r="C122" s="2">
        <v>100</v>
      </c>
      <c r="D122" s="4"/>
      <c r="E122" s="4"/>
      <c r="F122" s="4"/>
      <c r="G122" s="4"/>
      <c r="H122" s="4"/>
      <c r="I122" s="4"/>
      <c r="J122" s="4"/>
      <c r="K122" s="4"/>
      <c r="L122" s="4">
        <v>8500</v>
      </c>
      <c r="M122" s="4"/>
      <c r="N122" s="4">
        <f>(8000+8000+8500)/3</f>
        <v>8166.666666666667</v>
      </c>
      <c r="O122" s="4"/>
      <c r="P122" s="4"/>
      <c r="Q122" s="4"/>
    </row>
    <row r="123" spans="1:17" x14ac:dyDescent="0.4">
      <c r="A123" s="2" t="s">
        <v>290</v>
      </c>
      <c r="B123" s="2" t="s">
        <v>239</v>
      </c>
      <c r="C123" s="2">
        <v>160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>
        <v>7200</v>
      </c>
    </row>
    <row r="124" spans="1:17" x14ac:dyDescent="0.4">
      <c r="A124" s="2" t="s">
        <v>291</v>
      </c>
      <c r="B124" s="2" t="s">
        <v>272</v>
      </c>
      <c r="C124" s="2">
        <v>100</v>
      </c>
      <c r="D124" s="4"/>
      <c r="E124" s="4"/>
      <c r="F124" s="4"/>
      <c r="G124" s="4"/>
      <c r="H124" s="4"/>
      <c r="I124" s="4"/>
      <c r="J124" s="4"/>
      <c r="K124" s="4"/>
      <c r="L124" s="4">
        <f>(7500+10000+8000+7500)/4</f>
        <v>8250</v>
      </c>
      <c r="M124" s="4"/>
      <c r="N124" s="4">
        <v>9000</v>
      </c>
      <c r="O124" s="4"/>
      <c r="P124" s="4"/>
      <c r="Q124" s="4">
        <f>(8000+8500*2+9000*2+8100)/6</f>
        <v>8516.6666666666661</v>
      </c>
    </row>
    <row r="125" spans="1:17" x14ac:dyDescent="0.4">
      <c r="A125" s="2" t="s">
        <v>294</v>
      </c>
      <c r="B125" s="2" t="s">
        <v>295</v>
      </c>
      <c r="C125" s="2">
        <v>100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>
        <v>7000</v>
      </c>
      <c r="O125" s="4"/>
      <c r="P125" s="4"/>
      <c r="Q125" s="4">
        <f>(6600+7000+6500)/3</f>
        <v>6700</v>
      </c>
    </row>
    <row r="126" spans="1:17" x14ac:dyDescent="0.4">
      <c r="A126" s="2" t="s">
        <v>291</v>
      </c>
      <c r="B126" s="2" t="s">
        <v>239</v>
      </c>
      <c r="C126" s="2">
        <v>160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>
        <v>8800</v>
      </c>
    </row>
    <row r="127" spans="1:17" x14ac:dyDescent="0.4">
      <c r="A127" s="2" t="s">
        <v>292</v>
      </c>
      <c r="B127" s="2" t="s">
        <v>293</v>
      </c>
      <c r="C127" s="2">
        <v>100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>
        <f>(7000+8000+8500)/3</f>
        <v>7833.333333333333</v>
      </c>
      <c r="O127" s="4"/>
      <c r="P127" s="4"/>
      <c r="Q127" s="4">
        <v>7000</v>
      </c>
    </row>
    <row r="128" spans="1:17" x14ac:dyDescent="0.4">
      <c r="A128" s="2" t="s">
        <v>292</v>
      </c>
      <c r="B128" s="2" t="s">
        <v>295</v>
      </c>
      <c r="C128" s="2">
        <v>100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>
        <f>(5100+6000+6500)/3</f>
        <v>5866.666666666667</v>
      </c>
      <c r="O128" s="4"/>
      <c r="P128" s="4"/>
      <c r="Q128" s="4">
        <f>(5500*2+5500+6500*2+6000*2+7500+6500*3+6000+6500+6200+6500*2)/16</f>
        <v>6262.5</v>
      </c>
    </row>
    <row r="129" spans="1:17" x14ac:dyDescent="0.4">
      <c r="A129" s="2" t="s">
        <v>292</v>
      </c>
      <c r="B129" s="2" t="s">
        <v>239</v>
      </c>
      <c r="C129" s="2">
        <v>160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>
        <f>(9200+6400+9200)/3</f>
        <v>8266.6666666666661</v>
      </c>
    </row>
    <row r="130" spans="1:17" x14ac:dyDescent="0.4">
      <c r="A130" s="2" t="s">
        <v>296</v>
      </c>
      <c r="B130" s="2" t="s">
        <v>295</v>
      </c>
      <c r="C130" s="2">
        <v>100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>
        <v>7500</v>
      </c>
      <c r="O130" s="4"/>
      <c r="P130" s="4"/>
      <c r="Q130" s="4"/>
    </row>
    <row r="131" spans="1:17" x14ac:dyDescent="0.4">
      <c r="A131" s="2" t="s">
        <v>297</v>
      </c>
      <c r="B131" s="2" t="s">
        <v>293</v>
      </c>
      <c r="C131" s="2">
        <v>100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>
        <v>7500</v>
      </c>
      <c r="O131" s="4"/>
      <c r="P131" s="4"/>
      <c r="Q131" s="4">
        <f>(8000+8500+9000+8500)/4</f>
        <v>8500</v>
      </c>
    </row>
    <row r="132" spans="1:17" x14ac:dyDescent="0.4">
      <c r="A132" s="2" t="s">
        <v>297</v>
      </c>
      <c r="B132" s="2" t="s">
        <v>243</v>
      </c>
      <c r="C132" s="2">
        <v>100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>
        <f>(7500+7100)/2</f>
        <v>7300</v>
      </c>
    </row>
    <row r="133" spans="1:17" x14ac:dyDescent="0.4">
      <c r="A133" s="2" t="s">
        <v>298</v>
      </c>
      <c r="B133" s="2" t="s">
        <v>293</v>
      </c>
      <c r="C133" s="2">
        <v>100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>
        <v>9000</v>
      </c>
      <c r="O133" s="4"/>
      <c r="P133" s="4"/>
      <c r="Q133" s="4">
        <f>(8000+10000+9000)/3</f>
        <v>9000</v>
      </c>
    </row>
    <row r="134" spans="1:17" x14ac:dyDescent="0.4">
      <c r="A134" s="2" t="s">
        <v>299</v>
      </c>
      <c r="B134" s="2" t="s">
        <v>293</v>
      </c>
      <c r="C134" s="2">
        <v>100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>
        <v>7500</v>
      </c>
      <c r="O134" s="4"/>
      <c r="P134" s="4"/>
      <c r="Q134" s="4">
        <f>(8000+7500)/2</f>
        <v>7750</v>
      </c>
    </row>
    <row r="135" spans="1:17" x14ac:dyDescent="0.4">
      <c r="A135" s="2" t="s">
        <v>299</v>
      </c>
      <c r="B135" s="2" t="s">
        <v>243</v>
      </c>
      <c r="C135" s="2">
        <v>100</v>
      </c>
      <c r="D135" s="4"/>
      <c r="E135" s="4">
        <v>6000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4">
      <c r="A136" s="2" t="s">
        <v>299</v>
      </c>
      <c r="B136" s="2" t="s">
        <v>239</v>
      </c>
      <c r="C136" s="2">
        <v>160</v>
      </c>
      <c r="D136" s="4"/>
      <c r="E136" s="4">
        <v>6400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4">
      <c r="A137" s="2" t="s">
        <v>300</v>
      </c>
      <c r="B137" s="2" t="s">
        <v>293</v>
      </c>
      <c r="C137" s="2">
        <v>100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>
        <v>9000</v>
      </c>
      <c r="O137" s="4"/>
      <c r="P137" s="4"/>
      <c r="Q137" s="4">
        <f>(8000*2+9000*2+8500+8500+9000)/7</f>
        <v>8571.4285714285706</v>
      </c>
    </row>
    <row r="138" spans="1:17" x14ac:dyDescent="0.4">
      <c r="A138" s="2" t="s">
        <v>300</v>
      </c>
      <c r="B138" s="2" t="s">
        <v>243</v>
      </c>
      <c r="C138" s="2">
        <v>100</v>
      </c>
      <c r="D138" s="4"/>
      <c r="E138" s="4">
        <v>7500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4">
      <c r="A139" s="2" t="s">
        <v>300</v>
      </c>
      <c r="B139" s="2" t="s">
        <v>239</v>
      </c>
      <c r="C139" s="2">
        <v>160</v>
      </c>
      <c r="D139" s="4"/>
      <c r="E139" s="4">
        <v>7680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4">
      <c r="A140" s="2" t="s">
        <v>301</v>
      </c>
      <c r="B140" s="2" t="s">
        <v>293</v>
      </c>
      <c r="C140" s="2">
        <v>100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>
        <v>8500</v>
      </c>
      <c r="O140" s="4"/>
      <c r="P140" s="4"/>
      <c r="Q140" s="4"/>
    </row>
    <row r="141" spans="1:17" x14ac:dyDescent="0.4">
      <c r="A141" s="2" t="s">
        <v>301</v>
      </c>
      <c r="B141" s="2" t="s">
        <v>302</v>
      </c>
      <c r="C141" s="2">
        <v>160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>
        <v>9600</v>
      </c>
      <c r="O141" s="4"/>
      <c r="P141" s="4"/>
      <c r="Q141" s="4">
        <v>8000</v>
      </c>
    </row>
    <row r="142" spans="1:17" x14ac:dyDescent="0.4">
      <c r="A142" s="2" t="s">
        <v>301</v>
      </c>
      <c r="B142" s="2" t="s">
        <v>277</v>
      </c>
      <c r="C142" s="2">
        <v>160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>
        <v>6400</v>
      </c>
    </row>
    <row r="143" spans="1:17" x14ac:dyDescent="0.4">
      <c r="A143" s="2" t="s">
        <v>303</v>
      </c>
      <c r="B143" s="2" t="s">
        <v>293</v>
      </c>
      <c r="C143" s="2">
        <v>100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>
        <v>7000</v>
      </c>
      <c r="O143" s="4"/>
      <c r="P143" s="4"/>
      <c r="Q143" s="4">
        <v>8000</v>
      </c>
    </row>
    <row r="144" spans="1:17" x14ac:dyDescent="0.4">
      <c r="A144" s="2" t="s">
        <v>303</v>
      </c>
      <c r="B144" s="2" t="s">
        <v>243</v>
      </c>
      <c r="C144" s="2">
        <v>100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>
        <f>(7000+5000)/2</f>
        <v>6000</v>
      </c>
    </row>
    <row r="145" spans="1:17" x14ac:dyDescent="0.4">
      <c r="A145" s="2" t="s">
        <v>307</v>
      </c>
      <c r="B145" s="2" t="s">
        <v>293</v>
      </c>
      <c r="C145" s="2">
        <v>100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>
        <f>(8000+8000+9000)/3</f>
        <v>8333.3333333333339</v>
      </c>
    </row>
    <row r="146" spans="1:17" x14ac:dyDescent="0.4">
      <c r="A146" s="2" t="s">
        <v>308</v>
      </c>
      <c r="B146" s="2" t="s">
        <v>295</v>
      </c>
      <c r="C146" s="2">
        <v>100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>
        <f>(5000+6000)/2</f>
        <v>5500</v>
      </c>
    </row>
    <row r="147" spans="1:17" x14ac:dyDescent="0.4">
      <c r="A147" s="2" t="s">
        <v>311</v>
      </c>
      <c r="B147" s="2" t="s">
        <v>312</v>
      </c>
      <c r="C147" s="2">
        <v>100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>
        <v>9000</v>
      </c>
    </row>
    <row r="148" spans="1:17" x14ac:dyDescent="0.4">
      <c r="A148" s="2" t="s">
        <v>313</v>
      </c>
      <c r="B148" s="2" t="s">
        <v>312</v>
      </c>
      <c r="C148" s="2">
        <v>100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>
        <f>(9000+8000+8500*2)/4</f>
        <v>8500</v>
      </c>
    </row>
    <row r="149" spans="1:17" x14ac:dyDescent="0.4">
      <c r="A149" s="2" t="s">
        <v>314</v>
      </c>
      <c r="B149" s="2" t="s">
        <v>315</v>
      </c>
      <c r="C149" s="2">
        <v>160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>
        <f>(8000+8800)/2</f>
        <v>8400</v>
      </c>
    </row>
    <row r="150" spans="1:17" x14ac:dyDescent="0.4">
      <c r="A150" s="2" t="s">
        <v>314</v>
      </c>
      <c r="B150" s="2" t="s">
        <v>316</v>
      </c>
      <c r="C150" s="2">
        <v>160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>
        <v>6400</v>
      </c>
    </row>
    <row r="151" spans="1:17" x14ac:dyDescent="0.4">
      <c r="A151" s="2" t="s">
        <v>317</v>
      </c>
      <c r="B151" s="2" t="s">
        <v>312</v>
      </c>
      <c r="C151" s="2">
        <v>100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>
        <v>9000</v>
      </c>
    </row>
    <row r="152" spans="1:17" x14ac:dyDescent="0.4">
      <c r="A152" s="2" t="s">
        <v>317</v>
      </c>
      <c r="B152" s="2" t="s">
        <v>310</v>
      </c>
      <c r="C152" s="2">
        <v>100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>
        <f>(8000+6000)/2</f>
        <v>7000</v>
      </c>
    </row>
    <row r="153" spans="1:17" x14ac:dyDescent="0.4">
      <c r="A153" s="2" t="s">
        <v>318</v>
      </c>
      <c r="B153" s="2" t="s">
        <v>310</v>
      </c>
      <c r="C153" s="2">
        <v>100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>
        <v>7500</v>
      </c>
    </row>
    <row r="154" spans="1:17" x14ac:dyDescent="0.4">
      <c r="A154" s="2" t="s">
        <v>324</v>
      </c>
      <c r="B154" s="2" t="s">
        <v>312</v>
      </c>
      <c r="C154" s="2">
        <v>100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>
        <v>9000</v>
      </c>
    </row>
    <row r="155" spans="1:17" x14ac:dyDescent="0.4">
      <c r="A155" s="2" t="s">
        <v>324</v>
      </c>
      <c r="B155" s="2" t="s">
        <v>310</v>
      </c>
      <c r="C155" s="2">
        <v>100</v>
      </c>
      <c r="D155" s="4"/>
      <c r="E155" s="4">
        <v>6800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4">
      <c r="A156" s="2" t="s">
        <v>324</v>
      </c>
      <c r="B156" s="2" t="s">
        <v>315</v>
      </c>
      <c r="C156" s="2">
        <v>160</v>
      </c>
      <c r="D156" s="4"/>
      <c r="E156" s="4">
        <v>6400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4">
      <c r="A157" s="2" t="s">
        <v>325</v>
      </c>
      <c r="B157" s="2" t="s">
        <v>315</v>
      </c>
      <c r="C157" s="2">
        <v>160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>
        <v>8000</v>
      </c>
    </row>
    <row r="158" spans="1:17" x14ac:dyDescent="0.4">
      <c r="A158" s="2" t="s">
        <v>326</v>
      </c>
      <c r="B158" s="2" t="s">
        <v>316</v>
      </c>
      <c r="C158" s="2">
        <v>160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>
        <v>5920</v>
      </c>
    </row>
    <row r="159" spans="1:17" x14ac:dyDescent="0.4">
      <c r="A159" s="2" t="s">
        <v>328</v>
      </c>
      <c r="B159" s="2" t="s">
        <v>316</v>
      </c>
      <c r="C159" s="2">
        <v>160</v>
      </c>
      <c r="D159" s="4"/>
      <c r="E159" s="4">
        <f>(5600+3200)/2</f>
        <v>4400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4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4">
      <c r="A161" s="8" t="s">
        <v>265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4">
      <c r="A162" s="2" t="s">
        <v>132</v>
      </c>
      <c r="B162" s="2" t="s">
        <v>0</v>
      </c>
      <c r="C162" s="2" t="s">
        <v>131</v>
      </c>
      <c r="D162" s="4" t="s">
        <v>133</v>
      </c>
      <c r="E162" s="4" t="s">
        <v>135</v>
      </c>
      <c r="F162" s="4" t="s">
        <v>136</v>
      </c>
      <c r="G162" s="4" t="s">
        <v>137</v>
      </c>
      <c r="H162" s="4" t="s">
        <v>138</v>
      </c>
      <c r="I162" s="4" t="s">
        <v>139</v>
      </c>
      <c r="J162" s="4" t="s">
        <v>140</v>
      </c>
      <c r="K162" s="4" t="s">
        <v>141</v>
      </c>
      <c r="L162" s="4" t="s">
        <v>142</v>
      </c>
      <c r="M162" s="4" t="s">
        <v>143</v>
      </c>
      <c r="N162" s="4" t="s">
        <v>144</v>
      </c>
      <c r="O162" s="4" t="s">
        <v>145</v>
      </c>
      <c r="P162" s="4" t="s">
        <v>146</v>
      </c>
      <c r="Q162" s="4" t="s">
        <v>147</v>
      </c>
    </row>
    <row r="163" spans="1:17" x14ac:dyDescent="0.4">
      <c r="A163" s="2" t="s">
        <v>266</v>
      </c>
      <c r="B163" s="2" t="s">
        <v>267</v>
      </c>
      <c r="C163" s="2">
        <v>80</v>
      </c>
      <c r="D163" s="4"/>
      <c r="E163" s="4">
        <v>4800</v>
      </c>
      <c r="F163" s="4"/>
      <c r="G163" s="4">
        <v>4800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4">
      <c r="A164" s="2" t="s">
        <v>266</v>
      </c>
      <c r="B164" s="2" t="s">
        <v>243</v>
      </c>
      <c r="C164" s="2">
        <v>100</v>
      </c>
      <c r="D164" s="4"/>
      <c r="E164" s="4">
        <v>5500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4">
      <c r="A165" s="2" t="s">
        <v>266</v>
      </c>
      <c r="B165" s="2" t="s">
        <v>239</v>
      </c>
      <c r="C165" s="2">
        <v>100</v>
      </c>
      <c r="D165" s="4"/>
      <c r="E165" s="4">
        <v>3000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4">
      <c r="A166" s="2" t="s">
        <v>266</v>
      </c>
      <c r="B166" s="2" t="s">
        <v>268</v>
      </c>
      <c r="C166" s="2">
        <v>80</v>
      </c>
      <c r="D166" s="4"/>
      <c r="E166" s="4"/>
      <c r="F166" s="4"/>
      <c r="G166" s="4">
        <v>4000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4">
      <c r="A167" s="2" t="s">
        <v>266</v>
      </c>
      <c r="B167" s="2" t="s">
        <v>269</v>
      </c>
      <c r="C167" s="2">
        <v>80</v>
      </c>
      <c r="D167" s="4"/>
      <c r="E167" s="4"/>
      <c r="F167" s="4"/>
      <c r="G167" s="4">
        <v>4000</v>
      </c>
      <c r="H167" s="4"/>
      <c r="I167" s="4"/>
      <c r="J167" s="4">
        <v>4000</v>
      </c>
      <c r="K167" s="4"/>
      <c r="L167" s="4"/>
      <c r="M167" s="4"/>
      <c r="N167" s="4"/>
      <c r="O167" s="4"/>
      <c r="P167" s="4"/>
      <c r="Q167" s="4"/>
    </row>
    <row r="168" spans="1:17" x14ac:dyDescent="0.4">
      <c r="A168" s="2" t="s">
        <v>266</v>
      </c>
      <c r="B168" s="2" t="s">
        <v>270</v>
      </c>
      <c r="C168" s="2">
        <v>100</v>
      </c>
      <c r="D168" s="4"/>
      <c r="E168" s="4"/>
      <c r="F168" s="4"/>
      <c r="G168" s="4">
        <v>3000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4">
      <c r="A169" s="2" t="s">
        <v>266</v>
      </c>
      <c r="B169" s="2" t="s">
        <v>280</v>
      </c>
      <c r="C169" s="2">
        <v>100</v>
      </c>
      <c r="D169" s="4"/>
      <c r="E169" s="4">
        <v>2200</v>
      </c>
      <c r="F169" s="4"/>
      <c r="G169" s="4"/>
      <c r="H169" s="4"/>
      <c r="I169" s="4"/>
      <c r="J169" s="4">
        <v>3000</v>
      </c>
      <c r="K169" s="4"/>
      <c r="L169" s="4"/>
      <c r="M169" s="4"/>
      <c r="N169" s="4"/>
      <c r="O169" s="4"/>
      <c r="P169" s="4"/>
      <c r="Q169" s="4"/>
    </row>
    <row r="170" spans="1:17" x14ac:dyDescent="0.4">
      <c r="A170" s="2" t="s">
        <v>278</v>
      </c>
      <c r="B170" s="2" t="s">
        <v>272</v>
      </c>
      <c r="C170" s="2">
        <v>100</v>
      </c>
      <c r="D170" s="4"/>
      <c r="E170" s="4"/>
      <c r="F170" s="4"/>
      <c r="G170" s="4"/>
      <c r="H170" s="4"/>
      <c r="I170" s="4"/>
      <c r="J170" s="4">
        <v>6000</v>
      </c>
      <c r="K170" s="4"/>
      <c r="L170" s="4"/>
      <c r="M170" s="4"/>
      <c r="N170" s="4"/>
      <c r="O170" s="4"/>
      <c r="P170" s="4"/>
      <c r="Q170" s="4"/>
    </row>
    <row r="171" spans="1:17" x14ac:dyDescent="0.4">
      <c r="A171" s="2" t="s">
        <v>278</v>
      </c>
      <c r="B171" s="2" t="s">
        <v>279</v>
      </c>
      <c r="C171" s="2">
        <v>100</v>
      </c>
      <c r="D171" s="4"/>
      <c r="E171" s="4"/>
      <c r="F171" s="4"/>
      <c r="G171" s="4"/>
      <c r="H171" s="4"/>
      <c r="I171" s="4"/>
      <c r="J171" s="4">
        <v>5000</v>
      </c>
      <c r="K171" s="4"/>
      <c r="L171" s="4"/>
      <c r="M171" s="4"/>
      <c r="N171" s="4"/>
      <c r="O171" s="4"/>
      <c r="P171" s="4"/>
      <c r="Q171" s="4"/>
    </row>
    <row r="172" spans="1:17" x14ac:dyDescent="0.4">
      <c r="A172" s="2" t="s">
        <v>278</v>
      </c>
      <c r="B172" s="2" t="s">
        <v>269</v>
      </c>
      <c r="C172" s="2">
        <v>100</v>
      </c>
      <c r="D172" s="4"/>
      <c r="E172" s="4"/>
      <c r="F172" s="4"/>
      <c r="G172" s="4"/>
      <c r="H172" s="4"/>
      <c r="I172" s="4"/>
      <c r="J172" s="4">
        <v>4000</v>
      </c>
      <c r="K172" s="4"/>
      <c r="L172" s="4"/>
      <c r="M172" s="4"/>
      <c r="N172" s="4"/>
      <c r="O172" s="4"/>
      <c r="P172" s="4"/>
      <c r="Q172" s="4"/>
    </row>
    <row r="173" spans="1:17" x14ac:dyDescent="0.4">
      <c r="A173" s="2" t="s">
        <v>278</v>
      </c>
      <c r="B173" s="2" t="s">
        <v>270</v>
      </c>
      <c r="C173" s="2">
        <v>100</v>
      </c>
      <c r="D173" s="4"/>
      <c r="E173" s="4"/>
      <c r="F173" s="4"/>
      <c r="G173" s="4"/>
      <c r="H173" s="4"/>
      <c r="I173" s="4"/>
      <c r="J173" s="4">
        <v>3750</v>
      </c>
      <c r="K173" s="4"/>
      <c r="L173" s="4"/>
      <c r="M173" s="4"/>
      <c r="N173" s="4"/>
      <c r="O173" s="4"/>
      <c r="P173" s="4"/>
      <c r="Q173" s="4"/>
    </row>
    <row r="174" spans="1:17" x14ac:dyDescent="0.4">
      <c r="A174" s="2" t="s">
        <v>304</v>
      </c>
      <c r="B174" s="2" t="s">
        <v>293</v>
      </c>
      <c r="C174" s="2">
        <v>100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>
        <v>7000</v>
      </c>
      <c r="O174" s="4"/>
      <c r="P174" s="4"/>
      <c r="Q174" s="4"/>
    </row>
    <row r="175" spans="1:17" x14ac:dyDescent="0.4">
      <c r="A175" s="2" t="s">
        <v>304</v>
      </c>
      <c r="B175" s="2" t="s">
        <v>295</v>
      </c>
      <c r="C175" s="2">
        <v>100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>
        <v>6000</v>
      </c>
      <c r="O175" s="4"/>
      <c r="P175" s="4"/>
      <c r="Q175" s="4"/>
    </row>
    <row r="176" spans="1:17" x14ac:dyDescent="0.4">
      <c r="A176" s="2" t="s">
        <v>304</v>
      </c>
      <c r="B176" s="2" t="s">
        <v>305</v>
      </c>
      <c r="C176" s="2">
        <v>100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>
        <v>5000</v>
      </c>
      <c r="O176" s="4"/>
      <c r="P176" s="4"/>
      <c r="Q176" s="4">
        <v>5500</v>
      </c>
    </row>
    <row r="177" spans="1:17" x14ac:dyDescent="0.4">
      <c r="A177" s="2" t="s">
        <v>304</v>
      </c>
      <c r="B177" s="2" t="s">
        <v>306</v>
      </c>
      <c r="C177" s="2">
        <v>100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>
        <v>4000</v>
      </c>
      <c r="O177" s="4"/>
      <c r="P177" s="4"/>
      <c r="Q177" s="4">
        <v>4000</v>
      </c>
    </row>
    <row r="178" spans="1:17" x14ac:dyDescent="0.4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4">
      <c r="A179" s="8" t="s">
        <v>319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4">
      <c r="A180" s="2" t="s">
        <v>132</v>
      </c>
      <c r="B180" s="2" t="s">
        <v>0</v>
      </c>
      <c r="C180" s="2" t="s">
        <v>131</v>
      </c>
      <c r="D180" s="4" t="s">
        <v>133</v>
      </c>
      <c r="E180" s="4" t="s">
        <v>135</v>
      </c>
      <c r="F180" s="4" t="s">
        <v>136</v>
      </c>
      <c r="G180" s="4" t="s">
        <v>137</v>
      </c>
      <c r="H180" s="4" t="s">
        <v>138</v>
      </c>
      <c r="I180" s="4" t="s">
        <v>139</v>
      </c>
      <c r="J180" s="4" t="s">
        <v>140</v>
      </c>
      <c r="K180" s="4" t="s">
        <v>141</v>
      </c>
      <c r="L180" s="4" t="s">
        <v>142</v>
      </c>
      <c r="M180" s="4" t="s">
        <v>143</v>
      </c>
      <c r="N180" s="4" t="s">
        <v>144</v>
      </c>
      <c r="O180" s="4" t="s">
        <v>145</v>
      </c>
      <c r="P180" s="4" t="s">
        <v>146</v>
      </c>
      <c r="Q180" s="4" t="s">
        <v>147</v>
      </c>
    </row>
    <row r="181" spans="1:17" x14ac:dyDescent="0.4">
      <c r="A181" s="2" t="s">
        <v>320</v>
      </c>
      <c r="B181" s="2" t="s">
        <v>241</v>
      </c>
      <c r="C181" s="2">
        <v>50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>
        <f>(4500+5400+4000*2+4500*4+6000*2+5400*2)/12</f>
        <v>4891.666666666667</v>
      </c>
    </row>
    <row r="182" spans="1:17" x14ac:dyDescent="0.4">
      <c r="A182" s="2" t="s">
        <v>320</v>
      </c>
      <c r="B182" s="2" t="s">
        <v>243</v>
      </c>
      <c r="C182" s="2">
        <v>50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>
        <f>(3750+5000+4500)/3</f>
        <v>4416.666666666667</v>
      </c>
    </row>
    <row r="183" spans="1:17" x14ac:dyDescent="0.4">
      <c r="A183" s="2" t="s">
        <v>321</v>
      </c>
      <c r="B183" s="2" t="s">
        <v>241</v>
      </c>
      <c r="C183" s="2">
        <v>50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>
        <f>(2925*2+2557+5000+1500*2+2558)/7</f>
        <v>2709.2857142857142</v>
      </c>
    </row>
    <row r="184" spans="1:17" x14ac:dyDescent="0.4">
      <c r="A184" s="2" t="s">
        <v>321</v>
      </c>
      <c r="B184" s="2" t="s">
        <v>243</v>
      </c>
      <c r="C184" s="2">
        <v>50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>
        <f>(3500+3000)/2</f>
        <v>3250</v>
      </c>
    </row>
    <row r="185" spans="1:17" x14ac:dyDescent="0.4">
      <c r="A185" s="2" t="s">
        <v>322</v>
      </c>
      <c r="B185" s="2" t="s">
        <v>241</v>
      </c>
      <c r="C185" s="2">
        <v>50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>
        <f>(4000*2+5666+4250*4+7000*2+5666*2)/11</f>
        <v>5090.727272727273</v>
      </c>
    </row>
    <row r="186" spans="1:17" x14ac:dyDescent="0.4">
      <c r="A186" s="2" t="s">
        <v>323</v>
      </c>
      <c r="B186" s="2" t="s">
        <v>241</v>
      </c>
      <c r="C186" s="2">
        <v>50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>
        <f>(4500*2+3416+4000+4500*2+6750*2+3416*2)/10</f>
        <v>4574.8</v>
      </c>
    </row>
    <row r="187" spans="1:17" x14ac:dyDescent="0.4">
      <c r="A187" s="2" t="s">
        <v>327</v>
      </c>
      <c r="B187" s="2" t="s">
        <v>310</v>
      </c>
      <c r="C187" s="2">
        <v>50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>
        <f>(3500+7000)/2</f>
        <v>5250</v>
      </c>
    </row>
    <row r="188" spans="1:17" x14ac:dyDescent="0.4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7" x14ac:dyDescent="0.4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7" x14ac:dyDescent="0.4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7" x14ac:dyDescent="0.4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7" x14ac:dyDescent="0.4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x14ac:dyDescent="0.4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x14ac:dyDescent="0.4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x14ac:dyDescent="0.4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x14ac:dyDescent="0.4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x14ac:dyDescent="0.4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x14ac:dyDescent="0.4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x14ac:dyDescent="0.4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x14ac:dyDescent="0.4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x14ac:dyDescent="0.4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x14ac:dyDescent="0.4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x14ac:dyDescent="0.4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x14ac:dyDescent="0.4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x14ac:dyDescent="0.4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x14ac:dyDescent="0.4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x14ac:dyDescent="0.4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x14ac:dyDescent="0.4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x14ac:dyDescent="0.4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x14ac:dyDescent="0.4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x14ac:dyDescent="0.4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x14ac:dyDescent="0.4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x14ac:dyDescent="0.4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x14ac:dyDescent="0.4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x14ac:dyDescent="0.4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x14ac:dyDescent="0.4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x14ac:dyDescent="0.4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x14ac:dyDescent="0.4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x14ac:dyDescent="0.4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x14ac:dyDescent="0.4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x14ac:dyDescent="0.4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x14ac:dyDescent="0.4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x14ac:dyDescent="0.4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x14ac:dyDescent="0.4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x14ac:dyDescent="0.4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x14ac:dyDescent="0.4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x14ac:dyDescent="0.4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x14ac:dyDescent="0.4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x14ac:dyDescent="0.4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x14ac:dyDescent="0.4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x14ac:dyDescent="0.4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8.75" x14ac:dyDescent="0.4"/>
  <sheetData>
    <row r="1" spans="1:2" x14ac:dyDescent="0.4">
      <c r="A1" s="8" t="s">
        <v>228</v>
      </c>
    </row>
    <row r="2" spans="1:2" x14ac:dyDescent="0.4">
      <c r="B2" t="s">
        <v>229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A53" sqref="A53"/>
    </sheetView>
  </sheetViews>
  <sheetFormatPr defaultRowHeight="18.75" x14ac:dyDescent="0.4"/>
  <cols>
    <col min="1" max="16384" width="9" style="1"/>
  </cols>
  <sheetData>
    <row r="1" spans="1:17" x14ac:dyDescent="0.4">
      <c r="A1" s="9" t="s">
        <v>18</v>
      </c>
    </row>
    <row r="2" spans="1:17" x14ac:dyDescent="0.4">
      <c r="A2" s="4" t="s">
        <v>0</v>
      </c>
      <c r="B2" s="4" t="s">
        <v>1</v>
      </c>
      <c r="C2" s="4" t="s">
        <v>2</v>
      </c>
      <c r="D2" s="7" t="s">
        <v>134</v>
      </c>
      <c r="E2" s="7" t="s">
        <v>135</v>
      </c>
      <c r="F2" s="7" t="s">
        <v>136</v>
      </c>
      <c r="G2" s="7" t="s">
        <v>137</v>
      </c>
      <c r="H2" s="7" t="s">
        <v>138</v>
      </c>
      <c r="I2" s="7" t="s">
        <v>139</v>
      </c>
      <c r="J2" s="7" t="s">
        <v>140</v>
      </c>
      <c r="K2" s="7" t="s">
        <v>141</v>
      </c>
      <c r="L2" s="7" t="s">
        <v>142</v>
      </c>
      <c r="M2" s="7" t="s">
        <v>143</v>
      </c>
      <c r="N2" s="7" t="s">
        <v>144</v>
      </c>
      <c r="O2" s="7" t="s">
        <v>145</v>
      </c>
      <c r="P2" s="7" t="s">
        <v>146</v>
      </c>
      <c r="Q2" s="7" t="s">
        <v>147</v>
      </c>
    </row>
    <row r="3" spans="1:17" x14ac:dyDescent="0.4">
      <c r="A3" s="4" t="s">
        <v>19</v>
      </c>
      <c r="B3" s="4" t="s">
        <v>29</v>
      </c>
      <c r="C3" s="4" t="s">
        <v>30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v>500</v>
      </c>
      <c r="P3" s="4"/>
      <c r="Q3" s="4"/>
    </row>
    <row r="4" spans="1:17" x14ac:dyDescent="0.4">
      <c r="A4" s="4" t="s">
        <v>208</v>
      </c>
      <c r="B4" s="4" t="s">
        <v>28</v>
      </c>
      <c r="C4" s="4" t="s">
        <v>30</v>
      </c>
      <c r="D4" s="4">
        <v>600</v>
      </c>
      <c r="E4" s="4"/>
      <c r="F4" s="4">
        <v>600</v>
      </c>
      <c r="G4" s="4">
        <v>600</v>
      </c>
      <c r="H4" s="4">
        <v>600</v>
      </c>
      <c r="I4" s="4"/>
      <c r="J4" s="4">
        <v>566</v>
      </c>
      <c r="K4" s="4">
        <v>500</v>
      </c>
      <c r="L4" s="4"/>
      <c r="M4" s="4">
        <v>600</v>
      </c>
      <c r="N4" s="4"/>
      <c r="O4" s="4"/>
      <c r="P4" s="4"/>
      <c r="Q4" s="4"/>
    </row>
    <row r="5" spans="1:17" x14ac:dyDescent="0.4">
      <c r="A5" s="4" t="s">
        <v>209</v>
      </c>
      <c r="B5" s="4" t="s">
        <v>28</v>
      </c>
      <c r="C5" s="4" t="s">
        <v>30</v>
      </c>
      <c r="D5" s="4">
        <v>888</v>
      </c>
      <c r="E5" s="4"/>
      <c r="F5" s="4">
        <v>895</v>
      </c>
      <c r="G5" s="4">
        <v>960</v>
      </c>
      <c r="H5" s="4">
        <v>926</v>
      </c>
      <c r="I5" s="4"/>
      <c r="J5" s="4">
        <v>852</v>
      </c>
      <c r="K5" s="4">
        <v>900</v>
      </c>
      <c r="L5" s="4"/>
      <c r="M5" s="4">
        <v>866</v>
      </c>
      <c r="N5" s="4">
        <v>800</v>
      </c>
      <c r="O5" s="4"/>
      <c r="P5" s="4"/>
      <c r="Q5" s="4"/>
    </row>
    <row r="6" spans="1:17" x14ac:dyDescent="0.4">
      <c r="A6" s="4" t="s">
        <v>210</v>
      </c>
      <c r="B6" s="4" t="s">
        <v>28</v>
      </c>
      <c r="C6" s="4" t="s">
        <v>30</v>
      </c>
      <c r="D6" s="4">
        <v>1081</v>
      </c>
      <c r="E6" s="4"/>
      <c r="F6" s="4">
        <v>1112</v>
      </c>
      <c r="G6" s="4">
        <v>1100</v>
      </c>
      <c r="H6" s="4">
        <v>1070</v>
      </c>
      <c r="I6" s="4"/>
      <c r="J6" s="4">
        <v>1000</v>
      </c>
      <c r="K6" s="4">
        <v>1000</v>
      </c>
      <c r="L6" s="4"/>
      <c r="M6" s="4">
        <v>1028</v>
      </c>
      <c r="N6" s="4">
        <v>1036</v>
      </c>
      <c r="O6" s="4">
        <v>1075</v>
      </c>
      <c r="P6" s="4"/>
      <c r="Q6" s="4">
        <v>1100</v>
      </c>
    </row>
    <row r="7" spans="1:17" x14ac:dyDescent="0.4">
      <c r="A7" s="4" t="s">
        <v>211</v>
      </c>
      <c r="B7" s="4" t="s">
        <v>28</v>
      </c>
      <c r="C7" s="4" t="s">
        <v>30</v>
      </c>
      <c r="D7" s="4">
        <v>600</v>
      </c>
      <c r="E7" s="4"/>
      <c r="F7" s="4">
        <v>700</v>
      </c>
      <c r="G7" s="4"/>
      <c r="H7" s="4">
        <v>700</v>
      </c>
      <c r="I7" s="4"/>
      <c r="J7" s="4">
        <v>700</v>
      </c>
      <c r="K7" s="4"/>
      <c r="L7" s="4"/>
      <c r="M7" s="4"/>
      <c r="N7" s="4">
        <v>700</v>
      </c>
      <c r="O7" s="4">
        <v>800</v>
      </c>
      <c r="P7" s="4"/>
      <c r="Q7" s="4">
        <v>800</v>
      </c>
    </row>
    <row r="8" spans="1:17" x14ac:dyDescent="0.4">
      <c r="A8" s="4" t="s">
        <v>207</v>
      </c>
      <c r="B8" s="4" t="s">
        <v>28</v>
      </c>
      <c r="C8" s="4" t="s">
        <v>30</v>
      </c>
      <c r="D8" s="4">
        <v>533</v>
      </c>
      <c r="E8" s="4"/>
      <c r="F8" s="4">
        <v>567</v>
      </c>
      <c r="G8" s="4">
        <v>522</v>
      </c>
      <c r="H8" s="4">
        <v>576</v>
      </c>
      <c r="I8" s="4"/>
      <c r="J8" s="4">
        <v>538</v>
      </c>
      <c r="K8" s="4">
        <v>580</v>
      </c>
      <c r="L8" s="4"/>
      <c r="M8" s="4">
        <v>640</v>
      </c>
      <c r="N8" s="4">
        <v>700</v>
      </c>
      <c r="O8" s="4">
        <v>500</v>
      </c>
      <c r="P8" s="4"/>
      <c r="Q8" s="4">
        <v>700</v>
      </c>
    </row>
    <row r="9" spans="1:17" x14ac:dyDescent="0.4">
      <c r="A9" s="4" t="s">
        <v>20</v>
      </c>
      <c r="B9" s="4" t="s">
        <v>28</v>
      </c>
      <c r="C9" s="4" t="s">
        <v>30</v>
      </c>
      <c r="D9" s="4">
        <v>916</v>
      </c>
      <c r="E9" s="4"/>
      <c r="F9" s="4">
        <v>787</v>
      </c>
      <c r="G9" s="4">
        <v>677</v>
      </c>
      <c r="H9" s="4">
        <v>820</v>
      </c>
      <c r="I9" s="4"/>
      <c r="J9" s="4">
        <v>632</v>
      </c>
      <c r="K9" s="4">
        <v>1162</v>
      </c>
      <c r="L9" s="4"/>
      <c r="M9" s="4">
        <v>878</v>
      </c>
      <c r="N9" s="4">
        <v>700</v>
      </c>
      <c r="O9" s="4">
        <v>645</v>
      </c>
      <c r="P9" s="4"/>
      <c r="Q9" s="4">
        <v>800</v>
      </c>
    </row>
    <row r="10" spans="1:17" x14ac:dyDescent="0.4">
      <c r="A10" s="4" t="s">
        <v>21</v>
      </c>
      <c r="B10" s="4" t="s">
        <v>28</v>
      </c>
      <c r="C10" s="4" t="s">
        <v>31</v>
      </c>
      <c r="D10" s="4">
        <v>967</v>
      </c>
      <c r="E10" s="4"/>
      <c r="F10" s="4">
        <v>885</v>
      </c>
      <c r="G10" s="4">
        <v>807</v>
      </c>
      <c r="H10" s="4">
        <v>903</v>
      </c>
      <c r="I10" s="4"/>
      <c r="J10" s="4">
        <v>761</v>
      </c>
      <c r="K10" s="4">
        <v>996</v>
      </c>
      <c r="L10" s="4"/>
      <c r="M10" s="4">
        <v>889</v>
      </c>
      <c r="N10" s="4">
        <v>784</v>
      </c>
      <c r="O10" s="4">
        <v>1216</v>
      </c>
      <c r="P10" s="4"/>
      <c r="Q10" s="4">
        <v>840</v>
      </c>
    </row>
    <row r="11" spans="1:17" x14ac:dyDescent="0.4">
      <c r="A11" s="4" t="s">
        <v>22</v>
      </c>
      <c r="B11" s="4" t="s">
        <v>28</v>
      </c>
      <c r="C11" s="4" t="s">
        <v>30</v>
      </c>
      <c r="D11" s="4">
        <v>500</v>
      </c>
      <c r="E11" s="4"/>
      <c r="F11" s="4">
        <v>500</v>
      </c>
      <c r="G11" s="4"/>
      <c r="H11" s="4">
        <v>500</v>
      </c>
      <c r="I11" s="4"/>
      <c r="J11" s="4">
        <v>600</v>
      </c>
      <c r="K11" s="4">
        <v>400</v>
      </c>
      <c r="L11" s="4"/>
      <c r="M11" s="4">
        <v>500</v>
      </c>
      <c r="N11" s="4">
        <v>600</v>
      </c>
      <c r="O11" s="4">
        <v>600</v>
      </c>
      <c r="P11" s="4"/>
      <c r="Q11" s="4">
        <v>700</v>
      </c>
    </row>
    <row r="12" spans="1:17" x14ac:dyDescent="0.4">
      <c r="A12" s="4" t="s">
        <v>23</v>
      </c>
      <c r="B12" s="4" t="s">
        <v>28</v>
      </c>
      <c r="C12" s="4" t="s">
        <v>30</v>
      </c>
      <c r="D12" s="4">
        <v>418</v>
      </c>
      <c r="E12" s="4"/>
      <c r="F12" s="4">
        <v>425</v>
      </c>
      <c r="G12" s="4">
        <v>425</v>
      </c>
      <c r="H12" s="4">
        <v>433</v>
      </c>
      <c r="I12" s="4"/>
      <c r="J12" s="4">
        <v>428</v>
      </c>
      <c r="K12" s="4">
        <v>427</v>
      </c>
      <c r="L12" s="4"/>
      <c r="M12" s="4">
        <v>450</v>
      </c>
      <c r="N12" s="4">
        <v>500</v>
      </c>
      <c r="O12" s="4">
        <v>450</v>
      </c>
      <c r="P12" s="4"/>
      <c r="Q12" s="4">
        <v>450</v>
      </c>
    </row>
    <row r="13" spans="1:17" x14ac:dyDescent="0.4">
      <c r="A13" s="4" t="s">
        <v>24</v>
      </c>
      <c r="B13" s="4" t="s">
        <v>28</v>
      </c>
      <c r="C13" s="4" t="s">
        <v>31</v>
      </c>
      <c r="D13" s="4">
        <v>646</v>
      </c>
      <c r="E13" s="4"/>
      <c r="F13" s="4">
        <v>602</v>
      </c>
      <c r="G13" s="4">
        <v>482</v>
      </c>
      <c r="H13" s="4">
        <v>724</v>
      </c>
      <c r="I13" s="4"/>
      <c r="J13" s="4">
        <v>510</v>
      </c>
      <c r="K13" s="4">
        <v>747</v>
      </c>
      <c r="L13" s="4"/>
      <c r="M13" s="4">
        <v>767</v>
      </c>
      <c r="N13" s="4">
        <v>480</v>
      </c>
      <c r="O13" s="4">
        <v>1503</v>
      </c>
      <c r="P13" s="4"/>
      <c r="Q13" s="4">
        <v>560</v>
      </c>
    </row>
    <row r="14" spans="1:17" x14ac:dyDescent="0.4">
      <c r="A14" s="4" t="s">
        <v>25</v>
      </c>
      <c r="B14" s="4" t="s">
        <v>28</v>
      </c>
      <c r="C14" s="4" t="s">
        <v>30</v>
      </c>
      <c r="D14" s="4">
        <v>694</v>
      </c>
      <c r="E14" s="4"/>
      <c r="F14" s="4">
        <v>626</v>
      </c>
      <c r="G14" s="4">
        <v>505</v>
      </c>
      <c r="H14" s="4">
        <v>694</v>
      </c>
      <c r="I14" s="4"/>
      <c r="J14" s="4">
        <v>528</v>
      </c>
      <c r="K14" s="4">
        <v>751</v>
      </c>
      <c r="L14" s="4"/>
      <c r="M14" s="4">
        <v>756</v>
      </c>
      <c r="N14" s="4">
        <v>515</v>
      </c>
      <c r="O14" s="4">
        <v>997</v>
      </c>
      <c r="P14" s="4"/>
      <c r="Q14" s="4">
        <v>590</v>
      </c>
    </row>
    <row r="15" spans="1:17" x14ac:dyDescent="0.4">
      <c r="A15" s="4" t="s">
        <v>26</v>
      </c>
      <c r="B15" s="4" t="s">
        <v>28</v>
      </c>
      <c r="C15" s="4" t="s">
        <v>31</v>
      </c>
      <c r="D15" s="4">
        <v>400</v>
      </c>
      <c r="E15" s="4"/>
      <c r="F15" s="4">
        <v>400</v>
      </c>
      <c r="G15" s="4">
        <v>400</v>
      </c>
      <c r="H15" s="4">
        <v>400</v>
      </c>
      <c r="I15" s="4"/>
      <c r="J15" s="4">
        <v>400</v>
      </c>
      <c r="K15" s="4">
        <v>350</v>
      </c>
      <c r="L15" s="4"/>
      <c r="M15" s="4">
        <v>500</v>
      </c>
      <c r="N15" s="4">
        <v>400</v>
      </c>
      <c r="O15" s="4">
        <v>500</v>
      </c>
      <c r="P15" s="4"/>
      <c r="Q15" s="4">
        <v>600</v>
      </c>
    </row>
    <row r="16" spans="1:17" x14ac:dyDescent="0.4">
      <c r="A16" s="4" t="s">
        <v>27</v>
      </c>
      <c r="B16" s="4" t="s">
        <v>28</v>
      </c>
      <c r="C16" s="4" t="s">
        <v>30</v>
      </c>
      <c r="D16" s="4">
        <v>359</v>
      </c>
      <c r="E16" s="4"/>
      <c r="F16" s="4">
        <v>359</v>
      </c>
      <c r="G16" s="4">
        <v>369</v>
      </c>
      <c r="H16" s="4">
        <v>368</v>
      </c>
      <c r="I16" s="4"/>
      <c r="J16" s="4">
        <v>375</v>
      </c>
      <c r="K16" s="4">
        <v>382</v>
      </c>
      <c r="L16" s="4"/>
      <c r="M16" s="4">
        <v>364</v>
      </c>
      <c r="N16" s="4">
        <v>346</v>
      </c>
      <c r="O16" s="4">
        <v>392</v>
      </c>
      <c r="P16" s="4"/>
      <c r="Q16" s="4">
        <v>400</v>
      </c>
    </row>
    <row r="17" spans="1:17" x14ac:dyDescent="0.4">
      <c r="A17" s="4" t="s">
        <v>212</v>
      </c>
      <c r="B17" s="4" t="s">
        <v>28</v>
      </c>
      <c r="C17" s="4" t="s">
        <v>30</v>
      </c>
      <c r="D17" s="4"/>
      <c r="E17" s="4"/>
      <c r="F17" s="4">
        <v>400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9" spans="1:17" x14ac:dyDescent="0.4">
      <c r="A19" s="9" t="s">
        <v>32</v>
      </c>
    </row>
    <row r="20" spans="1:17" x14ac:dyDescent="0.4">
      <c r="A20" s="4" t="s">
        <v>0</v>
      </c>
      <c r="B20" s="4" t="s">
        <v>1</v>
      </c>
      <c r="C20" s="4" t="s">
        <v>2</v>
      </c>
      <c r="D20" s="7" t="s">
        <v>134</v>
      </c>
      <c r="E20" s="7" t="s">
        <v>135</v>
      </c>
      <c r="F20" s="7" t="s">
        <v>136</v>
      </c>
      <c r="G20" s="7" t="s">
        <v>137</v>
      </c>
      <c r="H20" s="7" t="s">
        <v>138</v>
      </c>
      <c r="I20" s="7" t="s">
        <v>139</v>
      </c>
      <c r="J20" s="7" t="s">
        <v>140</v>
      </c>
      <c r="K20" s="7" t="s">
        <v>141</v>
      </c>
      <c r="L20" s="7" t="s">
        <v>142</v>
      </c>
      <c r="M20" s="7" t="s">
        <v>143</v>
      </c>
      <c r="N20" s="7" t="s">
        <v>144</v>
      </c>
      <c r="O20" s="7" t="s">
        <v>145</v>
      </c>
      <c r="P20" s="7" t="s">
        <v>146</v>
      </c>
      <c r="Q20" s="7" t="s">
        <v>147</v>
      </c>
    </row>
    <row r="21" spans="1:17" x14ac:dyDescent="0.4">
      <c r="A21" s="4" t="s">
        <v>33</v>
      </c>
      <c r="B21" s="4" t="s">
        <v>55</v>
      </c>
      <c r="C21" s="4" t="s">
        <v>61</v>
      </c>
      <c r="D21" s="4"/>
      <c r="E21" s="4"/>
      <c r="F21" s="4">
        <v>1400</v>
      </c>
      <c r="G21" s="4"/>
      <c r="H21" s="4">
        <v>1100</v>
      </c>
      <c r="I21" s="4"/>
      <c r="J21" s="4">
        <v>1400</v>
      </c>
      <c r="K21" s="4">
        <v>1128</v>
      </c>
      <c r="L21" s="4"/>
      <c r="M21" s="4">
        <v>1300</v>
      </c>
      <c r="N21" s="4"/>
      <c r="O21" s="4"/>
      <c r="P21" s="4"/>
      <c r="Q21" s="4"/>
    </row>
    <row r="22" spans="1:17" x14ac:dyDescent="0.4">
      <c r="A22" s="4" t="s">
        <v>34</v>
      </c>
      <c r="B22" s="4" t="s">
        <v>56</v>
      </c>
      <c r="C22" s="4" t="s">
        <v>230</v>
      </c>
      <c r="D22" s="4">
        <v>1183</v>
      </c>
      <c r="E22" s="4"/>
      <c r="F22" s="4">
        <v>1010</v>
      </c>
      <c r="G22" s="4">
        <v>1200</v>
      </c>
      <c r="H22" s="4"/>
      <c r="I22" s="4"/>
      <c r="J22" s="4">
        <v>1170</v>
      </c>
      <c r="K22" s="4"/>
      <c r="L22" s="4"/>
      <c r="M22" s="4">
        <v>1260</v>
      </c>
      <c r="N22" s="4">
        <v>1200</v>
      </c>
      <c r="O22" s="4">
        <v>1275</v>
      </c>
      <c r="P22" s="4"/>
      <c r="Q22" s="4">
        <v>1250</v>
      </c>
    </row>
    <row r="23" spans="1:17" x14ac:dyDescent="0.4">
      <c r="A23" s="4" t="s">
        <v>35</v>
      </c>
      <c r="B23" s="4" t="s">
        <v>28</v>
      </c>
      <c r="C23" s="4" t="s">
        <v>63</v>
      </c>
      <c r="D23" s="4">
        <v>1658</v>
      </c>
      <c r="E23" s="4"/>
      <c r="F23" s="4">
        <v>1580</v>
      </c>
      <c r="G23" s="4">
        <v>1800</v>
      </c>
      <c r="H23" s="4">
        <v>1573</v>
      </c>
      <c r="I23" s="4"/>
      <c r="J23" s="4">
        <v>1640</v>
      </c>
      <c r="K23" s="4">
        <v>1584</v>
      </c>
      <c r="L23" s="4"/>
      <c r="M23" s="4">
        <v>1587</v>
      </c>
      <c r="N23" s="4">
        <v>1633</v>
      </c>
      <c r="O23" s="4">
        <v>1603</v>
      </c>
      <c r="P23" s="4"/>
      <c r="Q23" s="4">
        <v>1755</v>
      </c>
    </row>
    <row r="24" spans="1:17" x14ac:dyDescent="0.4">
      <c r="A24" s="4" t="s">
        <v>231</v>
      </c>
      <c r="B24" s="4" t="s">
        <v>29</v>
      </c>
      <c r="C24" s="4" t="s">
        <v>230</v>
      </c>
      <c r="D24" s="4"/>
      <c r="E24" s="4"/>
      <c r="F24" s="4"/>
      <c r="G24" s="4">
        <v>1505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4">
      <c r="A25" s="4" t="s">
        <v>36</v>
      </c>
      <c r="B25" s="4" t="s">
        <v>28</v>
      </c>
      <c r="C25" s="4" t="s">
        <v>31</v>
      </c>
      <c r="D25" s="4">
        <v>1862</v>
      </c>
      <c r="E25" s="4"/>
      <c r="F25" s="4">
        <v>1800</v>
      </c>
      <c r="G25" s="4"/>
      <c r="H25" s="4">
        <v>1780</v>
      </c>
      <c r="I25" s="4"/>
      <c r="J25" s="4">
        <v>1784</v>
      </c>
      <c r="K25" s="4">
        <v>1798</v>
      </c>
      <c r="L25" s="4"/>
      <c r="M25" s="4">
        <v>1803</v>
      </c>
      <c r="N25" s="4">
        <v>1840</v>
      </c>
      <c r="O25" s="4">
        <v>1849</v>
      </c>
      <c r="P25" s="4"/>
      <c r="Q25" s="4">
        <v>2000</v>
      </c>
    </row>
    <row r="26" spans="1:17" x14ac:dyDescent="0.4">
      <c r="A26" s="4" t="s">
        <v>36</v>
      </c>
      <c r="B26" s="4" t="s">
        <v>28</v>
      </c>
      <c r="C26" s="4" t="s">
        <v>230</v>
      </c>
      <c r="D26" s="4">
        <v>1665</v>
      </c>
      <c r="E26" s="4"/>
      <c r="F26" s="4">
        <v>1599</v>
      </c>
      <c r="G26" s="4">
        <v>1646</v>
      </c>
      <c r="H26" s="4">
        <v>1649</v>
      </c>
      <c r="I26" s="4"/>
      <c r="J26" s="4">
        <v>1628</v>
      </c>
      <c r="K26" s="4">
        <v>1603</v>
      </c>
      <c r="L26" s="4"/>
      <c r="M26" s="4">
        <v>1598</v>
      </c>
      <c r="N26" s="4">
        <v>1644</v>
      </c>
      <c r="O26" s="4">
        <v>1632</v>
      </c>
      <c r="P26" s="4"/>
      <c r="Q26" s="4">
        <v>1763</v>
      </c>
    </row>
    <row r="27" spans="1:17" x14ac:dyDescent="0.4">
      <c r="A27" s="4" t="s">
        <v>213</v>
      </c>
      <c r="B27" s="4" t="s">
        <v>57</v>
      </c>
      <c r="C27" s="4" t="s">
        <v>65</v>
      </c>
      <c r="D27" s="4">
        <v>78</v>
      </c>
      <c r="E27" s="4"/>
      <c r="F27" s="4">
        <v>63</v>
      </c>
      <c r="G27" s="4">
        <v>65</v>
      </c>
      <c r="H27" s="4">
        <v>81</v>
      </c>
      <c r="I27" s="4"/>
      <c r="J27" s="4">
        <v>60</v>
      </c>
      <c r="K27" s="4">
        <v>63</v>
      </c>
      <c r="L27" s="4"/>
      <c r="M27" s="4">
        <v>79</v>
      </c>
      <c r="N27" s="4"/>
      <c r="O27" s="4">
        <v>84</v>
      </c>
      <c r="P27" s="4"/>
      <c r="Q27" s="4">
        <v>80</v>
      </c>
    </row>
    <row r="28" spans="1:17" x14ac:dyDescent="0.4">
      <c r="A28" s="4" t="s">
        <v>37</v>
      </c>
      <c r="B28" s="4" t="s">
        <v>215</v>
      </c>
      <c r="C28" s="4" t="s">
        <v>31</v>
      </c>
      <c r="D28" s="4"/>
      <c r="E28" s="4"/>
      <c r="F28" s="4">
        <v>887</v>
      </c>
      <c r="G28" s="4">
        <v>988</v>
      </c>
      <c r="H28" s="4"/>
      <c r="I28" s="4"/>
      <c r="J28" s="4">
        <v>928</v>
      </c>
      <c r="K28" s="4">
        <v>844</v>
      </c>
      <c r="L28" s="4"/>
      <c r="M28" s="4">
        <v>1100</v>
      </c>
      <c r="N28" s="4">
        <v>1300</v>
      </c>
      <c r="O28" s="4">
        <v>1100</v>
      </c>
      <c r="P28" s="4"/>
      <c r="Q28" s="4">
        <v>1133</v>
      </c>
    </row>
    <row r="29" spans="1:17" x14ac:dyDescent="0.4">
      <c r="A29" s="4" t="s">
        <v>37</v>
      </c>
      <c r="B29" s="4" t="s">
        <v>28</v>
      </c>
      <c r="C29" s="4" t="s">
        <v>230</v>
      </c>
      <c r="D29" s="4">
        <v>1000</v>
      </c>
      <c r="E29" s="4"/>
      <c r="F29" s="4">
        <v>900</v>
      </c>
      <c r="G29" s="4">
        <v>1000</v>
      </c>
      <c r="H29" s="4">
        <v>950</v>
      </c>
      <c r="I29" s="4"/>
      <c r="J29" s="4">
        <v>866</v>
      </c>
      <c r="K29" s="4">
        <v>1000</v>
      </c>
      <c r="L29" s="4"/>
      <c r="M29" s="4">
        <v>1100</v>
      </c>
      <c r="N29" s="4">
        <v>1100</v>
      </c>
      <c r="O29" s="4">
        <v>1033</v>
      </c>
      <c r="P29" s="4"/>
      <c r="Q29" s="4">
        <v>1100</v>
      </c>
    </row>
    <row r="30" spans="1:17" x14ac:dyDescent="0.4">
      <c r="A30" s="4" t="s">
        <v>20</v>
      </c>
      <c r="B30" s="4" t="s">
        <v>58</v>
      </c>
      <c r="C30" s="4" t="s">
        <v>65</v>
      </c>
      <c r="D30" s="4">
        <v>85</v>
      </c>
      <c r="E30" s="4"/>
      <c r="F30" s="4">
        <v>80</v>
      </c>
      <c r="G30" s="4">
        <v>87</v>
      </c>
      <c r="H30" s="4">
        <v>85</v>
      </c>
      <c r="I30" s="4"/>
      <c r="J30" s="4">
        <v>86</v>
      </c>
      <c r="K30" s="4">
        <v>80</v>
      </c>
      <c r="L30" s="4"/>
      <c r="M30" s="4">
        <v>92</v>
      </c>
      <c r="N30" s="4"/>
      <c r="O30" s="4">
        <v>102</v>
      </c>
      <c r="P30" s="4"/>
      <c r="Q30" s="4">
        <v>120</v>
      </c>
    </row>
    <row r="31" spans="1:17" x14ac:dyDescent="0.4">
      <c r="A31" s="4" t="s">
        <v>20</v>
      </c>
      <c r="B31" s="4" t="s">
        <v>28</v>
      </c>
      <c r="C31" s="4" t="s">
        <v>31</v>
      </c>
      <c r="D31" s="4">
        <v>1250</v>
      </c>
      <c r="E31" s="4"/>
      <c r="F31" s="4">
        <v>1333</v>
      </c>
      <c r="G31" s="4">
        <v>1300</v>
      </c>
      <c r="H31" s="4">
        <v>1400</v>
      </c>
      <c r="I31" s="4"/>
      <c r="J31" s="4">
        <v>1300</v>
      </c>
      <c r="K31" s="4">
        <v>1300</v>
      </c>
      <c r="L31" s="4"/>
      <c r="M31" s="4">
        <v>1400</v>
      </c>
      <c r="N31" s="4"/>
      <c r="O31" s="4">
        <v>1500</v>
      </c>
      <c r="P31" s="4"/>
      <c r="Q31" s="4"/>
    </row>
    <row r="32" spans="1:17" x14ac:dyDescent="0.4">
      <c r="A32" s="4" t="s">
        <v>38</v>
      </c>
      <c r="B32" s="4" t="s">
        <v>59</v>
      </c>
      <c r="C32" s="4" t="s">
        <v>65</v>
      </c>
      <c r="D32" s="4">
        <v>106</v>
      </c>
      <c r="E32" s="4"/>
      <c r="F32" s="4">
        <v>105</v>
      </c>
      <c r="G32" s="4">
        <v>102</v>
      </c>
      <c r="H32" s="4">
        <v>106</v>
      </c>
      <c r="I32" s="4"/>
      <c r="J32" s="4">
        <v>106</v>
      </c>
      <c r="K32" s="4">
        <v>110</v>
      </c>
      <c r="L32" s="4"/>
      <c r="M32" s="4">
        <v>114</v>
      </c>
      <c r="N32" s="4">
        <v>120</v>
      </c>
      <c r="O32" s="4">
        <v>122</v>
      </c>
      <c r="P32" s="4"/>
      <c r="Q32" s="4">
        <v>140</v>
      </c>
    </row>
    <row r="33" spans="1:17" x14ac:dyDescent="0.4">
      <c r="A33" s="4" t="s">
        <v>214</v>
      </c>
      <c r="B33" s="4" t="s">
        <v>60</v>
      </c>
      <c r="C33" s="4" t="s">
        <v>30</v>
      </c>
      <c r="D33" s="4">
        <v>3324</v>
      </c>
      <c r="E33" s="4"/>
      <c r="F33" s="4">
        <v>3282</v>
      </c>
      <c r="G33" s="4"/>
      <c r="H33" s="4">
        <v>3324</v>
      </c>
      <c r="I33" s="4"/>
      <c r="J33" s="4"/>
      <c r="K33" s="4">
        <v>3408</v>
      </c>
      <c r="L33" s="4"/>
      <c r="M33" s="4">
        <v>3492</v>
      </c>
      <c r="N33" s="4"/>
      <c r="O33" s="4">
        <v>3745</v>
      </c>
      <c r="P33" s="4"/>
      <c r="Q33" s="4"/>
    </row>
    <row r="34" spans="1:17" x14ac:dyDescent="0.4">
      <c r="A34" s="4" t="s">
        <v>39</v>
      </c>
      <c r="B34" s="4" t="s">
        <v>28</v>
      </c>
      <c r="C34" s="4" t="s">
        <v>230</v>
      </c>
      <c r="D34" s="4">
        <v>1463</v>
      </c>
      <c r="E34" s="4"/>
      <c r="F34" s="4">
        <v>1294</v>
      </c>
      <c r="G34" s="4">
        <v>1379</v>
      </c>
      <c r="H34" s="4">
        <v>1283</v>
      </c>
      <c r="I34" s="4"/>
      <c r="J34" s="4">
        <v>1310</v>
      </c>
      <c r="K34" s="4">
        <v>1317</v>
      </c>
      <c r="L34" s="4"/>
      <c r="M34" s="4">
        <v>1330</v>
      </c>
      <c r="N34" s="4">
        <v>1373</v>
      </c>
      <c r="O34" s="4">
        <v>1369</v>
      </c>
      <c r="P34" s="4"/>
      <c r="Q34" s="4">
        <v>1473</v>
      </c>
    </row>
    <row r="35" spans="1:17" x14ac:dyDescent="0.4">
      <c r="A35" s="4" t="s">
        <v>40</v>
      </c>
      <c r="B35" s="4" t="s">
        <v>28</v>
      </c>
      <c r="C35" s="4" t="s">
        <v>31</v>
      </c>
      <c r="D35" s="4">
        <v>1200</v>
      </c>
      <c r="E35" s="4"/>
      <c r="F35" s="4">
        <v>1200</v>
      </c>
      <c r="G35" s="4"/>
      <c r="H35" s="4">
        <v>1200</v>
      </c>
      <c r="I35" s="4"/>
      <c r="J35" s="4"/>
      <c r="K35" s="4">
        <v>1200</v>
      </c>
      <c r="L35" s="4"/>
      <c r="M35" s="4">
        <v>1200</v>
      </c>
      <c r="N35" s="4"/>
      <c r="O35" s="4">
        <v>1200</v>
      </c>
      <c r="P35" s="4"/>
      <c r="Q35" s="4"/>
    </row>
    <row r="36" spans="1:17" x14ac:dyDescent="0.4">
      <c r="A36" s="4" t="s">
        <v>41</v>
      </c>
      <c r="B36" s="4" t="s">
        <v>28</v>
      </c>
      <c r="C36" s="4" t="s">
        <v>66</v>
      </c>
      <c r="D36" s="4">
        <v>1000</v>
      </c>
      <c r="E36" s="4"/>
      <c r="F36" s="4">
        <v>1000</v>
      </c>
      <c r="G36" s="4"/>
      <c r="H36" s="4"/>
      <c r="I36" s="4"/>
      <c r="J36" s="4">
        <v>1000</v>
      </c>
      <c r="K36" s="4"/>
      <c r="L36" s="4"/>
      <c r="M36" s="4"/>
      <c r="N36" s="4"/>
      <c r="O36" s="4">
        <v>1000</v>
      </c>
      <c r="P36" s="4"/>
      <c r="Q36" s="4">
        <v>1100</v>
      </c>
    </row>
    <row r="37" spans="1:17" x14ac:dyDescent="0.4">
      <c r="A37" s="4" t="s">
        <v>25</v>
      </c>
      <c r="B37" s="4" t="s">
        <v>28</v>
      </c>
      <c r="C37" s="4" t="s">
        <v>31</v>
      </c>
      <c r="D37" s="4">
        <v>1200</v>
      </c>
      <c r="E37" s="4"/>
      <c r="F37" s="4">
        <v>1200</v>
      </c>
      <c r="G37" s="4"/>
      <c r="H37" s="4">
        <v>1200</v>
      </c>
      <c r="I37" s="4"/>
      <c r="J37" s="4"/>
      <c r="K37" s="4">
        <v>1200</v>
      </c>
      <c r="L37" s="4"/>
      <c r="M37" s="4"/>
      <c r="N37" s="4"/>
      <c r="O37" s="4">
        <v>1200</v>
      </c>
      <c r="P37" s="4"/>
      <c r="Q37" s="4">
        <v>1300</v>
      </c>
    </row>
    <row r="38" spans="1:17" x14ac:dyDescent="0.4">
      <c r="A38" s="4" t="s">
        <v>42</v>
      </c>
      <c r="B38" s="4" t="s">
        <v>28</v>
      </c>
      <c r="C38" s="4" t="s">
        <v>67</v>
      </c>
      <c r="D38" s="4">
        <v>600</v>
      </c>
      <c r="E38" s="4"/>
      <c r="F38" s="4">
        <v>800</v>
      </c>
      <c r="G38" s="4"/>
      <c r="H38" s="4">
        <v>800</v>
      </c>
      <c r="I38" s="4"/>
      <c r="J38" s="4"/>
      <c r="K38" s="4">
        <v>666</v>
      </c>
      <c r="L38" s="4"/>
      <c r="M38" s="4">
        <v>800</v>
      </c>
      <c r="N38" s="4">
        <v>900</v>
      </c>
      <c r="O38" s="4">
        <v>800</v>
      </c>
      <c r="P38" s="4"/>
      <c r="Q38" s="4">
        <v>800</v>
      </c>
    </row>
    <row r="39" spans="1:17" x14ac:dyDescent="0.4">
      <c r="A39" s="4" t="s">
        <v>43</v>
      </c>
      <c r="B39" s="4" t="s">
        <v>60</v>
      </c>
      <c r="C39" s="4" t="s">
        <v>31</v>
      </c>
      <c r="D39" s="4">
        <v>1225</v>
      </c>
      <c r="E39" s="4"/>
      <c r="F39" s="4">
        <v>1200</v>
      </c>
      <c r="G39" s="4">
        <v>1466</v>
      </c>
      <c r="H39" s="4">
        <v>1133</v>
      </c>
      <c r="I39" s="4"/>
      <c r="J39" s="4">
        <v>1250</v>
      </c>
      <c r="K39" s="4">
        <v>1060</v>
      </c>
      <c r="L39" s="4"/>
      <c r="M39" s="4">
        <v>1050</v>
      </c>
      <c r="N39" s="4">
        <v>1250</v>
      </c>
      <c r="O39" s="4">
        <v>1266</v>
      </c>
      <c r="P39" s="4"/>
      <c r="Q39" s="4">
        <v>1425</v>
      </c>
    </row>
    <row r="41" spans="1:17" x14ac:dyDescent="0.4">
      <c r="A41" s="9" t="s">
        <v>44</v>
      </c>
    </row>
    <row r="42" spans="1:17" x14ac:dyDescent="0.4">
      <c r="A42" s="4" t="s">
        <v>0</v>
      </c>
      <c r="B42" s="4" t="s">
        <v>1</v>
      </c>
      <c r="C42" s="4" t="s">
        <v>2</v>
      </c>
      <c r="D42" s="7" t="s">
        <v>134</v>
      </c>
      <c r="E42" s="7" t="s">
        <v>135</v>
      </c>
      <c r="F42" s="7" t="s">
        <v>136</v>
      </c>
      <c r="G42" s="7" t="s">
        <v>137</v>
      </c>
      <c r="H42" s="7" t="s">
        <v>138</v>
      </c>
      <c r="I42" s="7" t="s">
        <v>139</v>
      </c>
      <c r="J42" s="7" t="s">
        <v>140</v>
      </c>
      <c r="K42" s="7" t="s">
        <v>141</v>
      </c>
      <c r="L42" s="7" t="s">
        <v>142</v>
      </c>
      <c r="M42" s="7" t="s">
        <v>143</v>
      </c>
      <c r="N42" s="7" t="s">
        <v>144</v>
      </c>
      <c r="O42" s="7" t="s">
        <v>145</v>
      </c>
      <c r="P42" s="7" t="s">
        <v>146</v>
      </c>
      <c r="Q42" s="7" t="s">
        <v>147</v>
      </c>
    </row>
    <row r="43" spans="1:17" x14ac:dyDescent="0.4">
      <c r="A43" s="4" t="s">
        <v>223</v>
      </c>
      <c r="B43" s="4" t="s">
        <v>224</v>
      </c>
      <c r="C43" s="4" t="s">
        <v>65</v>
      </c>
      <c r="D43" s="4">
        <v>50</v>
      </c>
      <c r="E43" s="4"/>
      <c r="F43" s="4">
        <v>65</v>
      </c>
      <c r="G43" s="4">
        <v>60</v>
      </c>
      <c r="H43" s="4"/>
      <c r="I43" s="4">
        <v>70</v>
      </c>
      <c r="J43" s="4"/>
      <c r="K43" s="4">
        <v>50</v>
      </c>
      <c r="L43" s="4"/>
      <c r="M43" s="4">
        <v>70</v>
      </c>
      <c r="N43" s="4"/>
      <c r="O43" s="4"/>
      <c r="P43" s="4"/>
      <c r="Q43" s="4"/>
    </row>
    <row r="44" spans="1:17" x14ac:dyDescent="0.4">
      <c r="A44" s="4" t="s">
        <v>225</v>
      </c>
      <c r="B44" s="4" t="s">
        <v>224</v>
      </c>
      <c r="C44" s="4" t="s">
        <v>65</v>
      </c>
      <c r="D44" s="4">
        <v>88</v>
      </c>
      <c r="E44" s="4"/>
      <c r="F44" s="4">
        <v>90</v>
      </c>
      <c r="G44" s="4">
        <v>95</v>
      </c>
      <c r="H44" s="4">
        <v>100</v>
      </c>
      <c r="I44" s="4">
        <v>84</v>
      </c>
      <c r="J44" s="4"/>
      <c r="K44" s="4">
        <v>90</v>
      </c>
      <c r="L44" s="4"/>
      <c r="M44" s="4">
        <v>95</v>
      </c>
      <c r="N44" s="4">
        <v>90</v>
      </c>
      <c r="O44" s="4">
        <v>96</v>
      </c>
      <c r="P44" s="4"/>
      <c r="Q44" s="4">
        <v>95</v>
      </c>
    </row>
    <row r="45" spans="1:17" x14ac:dyDescent="0.4">
      <c r="A45" s="4" t="s">
        <v>36</v>
      </c>
      <c r="B45" s="4" t="s">
        <v>29</v>
      </c>
      <c r="C45" s="4" t="s">
        <v>64</v>
      </c>
      <c r="D45" s="4">
        <v>1167</v>
      </c>
      <c r="E45" s="4"/>
      <c r="F45" s="4">
        <v>1170</v>
      </c>
      <c r="G45" s="4">
        <v>1163</v>
      </c>
      <c r="H45" s="4">
        <v>1133</v>
      </c>
      <c r="I45" s="4">
        <v>1045</v>
      </c>
      <c r="J45" s="4"/>
      <c r="K45" s="4">
        <v>1041</v>
      </c>
      <c r="L45" s="4"/>
      <c r="M45" s="4">
        <v>1038</v>
      </c>
      <c r="N45" s="4">
        <v>1093</v>
      </c>
      <c r="O45" s="4">
        <v>1127</v>
      </c>
      <c r="P45" s="4"/>
      <c r="Q45" s="4">
        <v>1095</v>
      </c>
    </row>
    <row r="46" spans="1:17" x14ac:dyDescent="0.4">
      <c r="A46" s="4" t="s">
        <v>226</v>
      </c>
      <c r="B46" s="4" t="s">
        <v>69</v>
      </c>
      <c r="C46" s="4" t="s">
        <v>65</v>
      </c>
      <c r="D46" s="4"/>
      <c r="E46" s="4"/>
      <c r="F46" s="4"/>
      <c r="G46" s="4"/>
      <c r="H46" s="4"/>
      <c r="I46" s="4">
        <v>40</v>
      </c>
      <c r="J46" s="4"/>
      <c r="K46" s="4"/>
      <c r="L46" s="4"/>
      <c r="M46" s="4"/>
      <c r="N46" s="4"/>
      <c r="O46" s="4"/>
      <c r="P46" s="4"/>
      <c r="Q46" s="4"/>
    </row>
    <row r="47" spans="1:17" x14ac:dyDescent="0.4">
      <c r="A47" s="4" t="s">
        <v>38</v>
      </c>
      <c r="B47" s="4" t="s">
        <v>69</v>
      </c>
      <c r="C47" s="4" t="s">
        <v>68</v>
      </c>
      <c r="D47" s="4">
        <v>67</v>
      </c>
      <c r="E47" s="4"/>
      <c r="F47" s="4">
        <v>70</v>
      </c>
      <c r="G47" s="4">
        <v>70</v>
      </c>
      <c r="H47" s="4">
        <v>73</v>
      </c>
      <c r="I47" s="4">
        <v>66</v>
      </c>
      <c r="J47" s="4"/>
      <c r="K47" s="4">
        <v>60</v>
      </c>
      <c r="L47" s="4"/>
      <c r="M47" s="4">
        <v>70</v>
      </c>
      <c r="N47" s="4">
        <v>70</v>
      </c>
      <c r="O47" s="4">
        <v>76</v>
      </c>
      <c r="P47" s="4"/>
      <c r="Q47" s="4">
        <v>77</v>
      </c>
    </row>
    <row r="48" spans="1:17" x14ac:dyDescent="0.4">
      <c r="A48" s="4" t="s">
        <v>21</v>
      </c>
      <c r="B48" s="4" t="s">
        <v>29</v>
      </c>
      <c r="C48" s="4" t="s">
        <v>64</v>
      </c>
      <c r="D48" s="4">
        <v>882</v>
      </c>
      <c r="E48" s="4"/>
      <c r="F48" s="4">
        <v>833</v>
      </c>
      <c r="G48" s="4">
        <v>888</v>
      </c>
      <c r="H48" s="4">
        <v>841</v>
      </c>
      <c r="I48" s="4">
        <v>777</v>
      </c>
      <c r="J48" s="4"/>
      <c r="K48" s="4">
        <v>764</v>
      </c>
      <c r="L48" s="4"/>
      <c r="M48" s="4">
        <v>800</v>
      </c>
      <c r="N48" s="4">
        <v>800</v>
      </c>
      <c r="O48" s="4">
        <v>850</v>
      </c>
      <c r="P48" s="4"/>
      <c r="Q48" s="4">
        <v>858</v>
      </c>
    </row>
    <row r="49" spans="1:17" x14ac:dyDescent="0.4">
      <c r="A49" s="4" t="s">
        <v>46</v>
      </c>
      <c r="B49" s="4" t="s">
        <v>70</v>
      </c>
      <c r="C49" s="4" t="s">
        <v>73</v>
      </c>
      <c r="D49" s="4"/>
      <c r="E49" s="4"/>
      <c r="F49" s="4">
        <v>35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4">
      <c r="A50" s="4" t="s">
        <v>47</v>
      </c>
      <c r="B50" s="4" t="s">
        <v>71</v>
      </c>
      <c r="C50" s="4" t="s">
        <v>68</v>
      </c>
      <c r="D50" s="4">
        <v>44</v>
      </c>
      <c r="E50" s="4"/>
      <c r="F50" s="4">
        <v>46</v>
      </c>
      <c r="G50" s="4"/>
      <c r="H50" s="4">
        <v>50</v>
      </c>
      <c r="I50" s="4">
        <v>40</v>
      </c>
      <c r="J50" s="4"/>
      <c r="K50" s="4">
        <v>30</v>
      </c>
      <c r="L50" s="4"/>
      <c r="M50" s="4">
        <v>50</v>
      </c>
      <c r="N50" s="4">
        <v>50</v>
      </c>
      <c r="O50" s="4"/>
      <c r="P50" s="4"/>
      <c r="Q50" s="4"/>
    </row>
    <row r="51" spans="1:17" x14ac:dyDescent="0.4">
      <c r="A51" s="4" t="s">
        <v>48</v>
      </c>
      <c r="B51" s="4" t="s">
        <v>72</v>
      </c>
      <c r="C51" s="4" t="s">
        <v>74</v>
      </c>
      <c r="D51" s="4">
        <v>666</v>
      </c>
      <c r="E51" s="4"/>
      <c r="F51" s="4">
        <v>700</v>
      </c>
      <c r="G51" s="4">
        <v>585</v>
      </c>
      <c r="H51" s="4">
        <v>600</v>
      </c>
      <c r="I51" s="4"/>
      <c r="J51" s="4">
        <v>800</v>
      </c>
      <c r="K51" s="4">
        <v>530</v>
      </c>
      <c r="L51" s="4"/>
      <c r="M51" s="4">
        <v>733</v>
      </c>
      <c r="N51" s="4">
        <v>733</v>
      </c>
      <c r="O51" s="4">
        <v>800</v>
      </c>
      <c r="P51" s="4"/>
      <c r="Q51" s="4"/>
    </row>
    <row r="53" spans="1:17" x14ac:dyDescent="0.4">
      <c r="A53" s="9" t="s">
        <v>49</v>
      </c>
    </row>
    <row r="54" spans="1:17" x14ac:dyDescent="0.4">
      <c r="A54" s="4" t="s">
        <v>0</v>
      </c>
      <c r="B54" s="4" t="s">
        <v>1</v>
      </c>
      <c r="C54" s="4" t="s">
        <v>2</v>
      </c>
      <c r="D54" s="7" t="s">
        <v>134</v>
      </c>
      <c r="E54" s="7" t="s">
        <v>135</v>
      </c>
      <c r="F54" s="7" t="s">
        <v>136</v>
      </c>
      <c r="G54" s="7" t="s">
        <v>137</v>
      </c>
      <c r="H54" s="7" t="s">
        <v>138</v>
      </c>
      <c r="I54" s="7" t="s">
        <v>139</v>
      </c>
      <c r="J54" s="7" t="s">
        <v>140</v>
      </c>
      <c r="K54" s="7" t="s">
        <v>141</v>
      </c>
      <c r="L54" s="7" t="s">
        <v>142</v>
      </c>
      <c r="M54" s="7" t="s">
        <v>143</v>
      </c>
      <c r="N54" s="7" t="s">
        <v>144</v>
      </c>
      <c r="O54" s="7" t="s">
        <v>145</v>
      </c>
      <c r="P54" s="7" t="s">
        <v>146</v>
      </c>
      <c r="Q54" s="7" t="s">
        <v>147</v>
      </c>
    </row>
    <row r="55" spans="1:17" x14ac:dyDescent="0.4">
      <c r="A55" s="4" t="s">
        <v>50</v>
      </c>
      <c r="B55" s="4" t="s">
        <v>57</v>
      </c>
      <c r="C55" s="4" t="s">
        <v>79</v>
      </c>
      <c r="D55" s="4">
        <v>121</v>
      </c>
      <c r="E55" s="4"/>
      <c r="F55" s="4">
        <v>113</v>
      </c>
      <c r="G55" s="4">
        <v>116</v>
      </c>
      <c r="H55" s="4">
        <v>112</v>
      </c>
      <c r="I55" s="4"/>
      <c r="J55" s="4">
        <v>110</v>
      </c>
      <c r="K55" s="4">
        <v>112</v>
      </c>
      <c r="L55" s="4"/>
      <c r="M55" s="4"/>
      <c r="N55" s="4"/>
      <c r="O55" s="4">
        <v>120</v>
      </c>
      <c r="P55" s="4"/>
      <c r="Q55" s="4"/>
    </row>
    <row r="56" spans="1:17" x14ac:dyDescent="0.4">
      <c r="A56" s="4" t="s">
        <v>51</v>
      </c>
      <c r="B56" s="4" t="s">
        <v>75</v>
      </c>
      <c r="C56" s="4" t="s">
        <v>80</v>
      </c>
      <c r="D56" s="4">
        <v>2066</v>
      </c>
      <c r="E56" s="4"/>
      <c r="F56" s="4">
        <v>2123</v>
      </c>
      <c r="G56" s="4"/>
      <c r="H56" s="4">
        <v>2100</v>
      </c>
      <c r="I56" s="4"/>
      <c r="J56" s="4">
        <v>2400</v>
      </c>
      <c r="K56" s="4">
        <v>2133</v>
      </c>
      <c r="L56" s="4"/>
      <c r="M56" s="4">
        <v>2400</v>
      </c>
      <c r="N56" s="4">
        <v>2400</v>
      </c>
      <c r="O56" s="4">
        <v>2200</v>
      </c>
      <c r="P56" s="4"/>
      <c r="Q56" s="4"/>
    </row>
    <row r="57" spans="1:17" x14ac:dyDescent="0.4">
      <c r="A57" s="4" t="s">
        <v>216</v>
      </c>
      <c r="B57" s="4" t="s">
        <v>57</v>
      </c>
      <c r="C57" s="4" t="s">
        <v>65</v>
      </c>
      <c r="D57" s="4">
        <v>100</v>
      </c>
      <c r="E57" s="4"/>
      <c r="F57" s="4">
        <v>110</v>
      </c>
      <c r="G57" s="4"/>
      <c r="H57" s="4">
        <v>105</v>
      </c>
      <c r="I57" s="4"/>
      <c r="J57" s="4"/>
      <c r="K57" s="4">
        <v>110</v>
      </c>
      <c r="L57" s="4"/>
      <c r="M57" s="4">
        <v>110</v>
      </c>
      <c r="N57" s="4"/>
      <c r="O57" s="4">
        <v>120</v>
      </c>
      <c r="P57" s="4"/>
      <c r="Q57" s="4"/>
    </row>
    <row r="58" spans="1:17" x14ac:dyDescent="0.4">
      <c r="A58" s="4" t="s">
        <v>217</v>
      </c>
      <c r="B58" s="4" t="s">
        <v>218</v>
      </c>
      <c r="C58" s="4" t="s">
        <v>219</v>
      </c>
      <c r="D58" s="4">
        <v>600</v>
      </c>
      <c r="E58" s="4"/>
      <c r="F58" s="4">
        <v>600</v>
      </c>
      <c r="G58" s="4">
        <v>600</v>
      </c>
      <c r="H58" s="4"/>
      <c r="I58" s="4"/>
      <c r="J58" s="4">
        <v>600</v>
      </c>
      <c r="K58" s="4">
        <v>600</v>
      </c>
      <c r="L58" s="4"/>
      <c r="M58" s="4"/>
      <c r="N58" s="4">
        <v>800</v>
      </c>
      <c r="O58" s="4"/>
      <c r="P58" s="4"/>
      <c r="Q58" s="4"/>
    </row>
    <row r="59" spans="1:17" x14ac:dyDescent="0.4">
      <c r="A59" s="4" t="s">
        <v>220</v>
      </c>
      <c r="B59" s="4" t="s">
        <v>221</v>
      </c>
      <c r="C59" s="4" t="s">
        <v>30</v>
      </c>
      <c r="D59" s="4">
        <v>700</v>
      </c>
      <c r="E59" s="4"/>
      <c r="F59" s="4">
        <v>700</v>
      </c>
      <c r="G59" s="4">
        <v>700</v>
      </c>
      <c r="H59" s="4"/>
      <c r="I59" s="4"/>
      <c r="J59" s="4">
        <v>700</v>
      </c>
      <c r="K59" s="4">
        <v>700</v>
      </c>
      <c r="L59" s="4"/>
      <c r="M59" s="4"/>
      <c r="N59" s="4">
        <v>900</v>
      </c>
      <c r="O59" s="4"/>
      <c r="P59" s="4"/>
      <c r="Q59" s="4"/>
    </row>
    <row r="60" spans="1:17" x14ac:dyDescent="0.4">
      <c r="A60" s="4" t="s">
        <v>52</v>
      </c>
      <c r="B60" s="4" t="s">
        <v>76</v>
      </c>
      <c r="C60" s="4" t="s">
        <v>81</v>
      </c>
      <c r="D60" s="4">
        <v>105</v>
      </c>
      <c r="E60" s="4"/>
      <c r="F60" s="4">
        <v>105</v>
      </c>
      <c r="G60" s="4"/>
      <c r="H60" s="4"/>
      <c r="I60" s="4"/>
      <c r="J60" s="4"/>
      <c r="K60" s="4">
        <v>110</v>
      </c>
      <c r="L60" s="4"/>
      <c r="M60" s="4">
        <v>100</v>
      </c>
      <c r="N60" s="4">
        <v>100</v>
      </c>
      <c r="O60" s="4">
        <v>100</v>
      </c>
      <c r="P60" s="4"/>
      <c r="Q60" s="4">
        <v>100</v>
      </c>
    </row>
    <row r="61" spans="1:17" x14ac:dyDescent="0.4">
      <c r="A61" s="4" t="s">
        <v>53</v>
      </c>
      <c r="B61" s="4" t="s">
        <v>77</v>
      </c>
      <c r="C61" s="4" t="s">
        <v>82</v>
      </c>
      <c r="D61" s="4">
        <v>1200</v>
      </c>
      <c r="E61" s="4"/>
      <c r="F61" s="4">
        <v>1000</v>
      </c>
      <c r="G61" s="4">
        <v>1000</v>
      </c>
      <c r="H61" s="4"/>
      <c r="I61" s="4"/>
      <c r="J61" s="4">
        <v>1000</v>
      </c>
      <c r="K61" s="4">
        <v>1000</v>
      </c>
      <c r="L61" s="4"/>
      <c r="M61" s="4"/>
      <c r="N61" s="4">
        <v>1400</v>
      </c>
      <c r="O61" s="4"/>
      <c r="P61" s="4"/>
      <c r="Q61" s="4"/>
    </row>
    <row r="62" spans="1:17" x14ac:dyDescent="0.4">
      <c r="A62" s="4" t="s">
        <v>38</v>
      </c>
      <c r="B62" s="4" t="s">
        <v>78</v>
      </c>
      <c r="C62" s="4" t="s">
        <v>67</v>
      </c>
      <c r="D62" s="4">
        <v>1200</v>
      </c>
      <c r="E62" s="4"/>
      <c r="F62" s="4">
        <v>1000</v>
      </c>
      <c r="G62" s="4">
        <v>1200</v>
      </c>
      <c r="H62" s="4"/>
      <c r="I62" s="4"/>
      <c r="J62" s="4">
        <v>1200</v>
      </c>
      <c r="K62" s="4">
        <v>1100</v>
      </c>
      <c r="L62" s="4"/>
      <c r="M62" s="4"/>
      <c r="N62" s="4">
        <v>1600</v>
      </c>
      <c r="O62" s="4"/>
      <c r="P62" s="4"/>
      <c r="Q62" s="4"/>
    </row>
    <row r="63" spans="1:17" x14ac:dyDescent="0.4">
      <c r="A63" s="4" t="s">
        <v>206</v>
      </c>
      <c r="B63" s="4" t="s">
        <v>222</v>
      </c>
      <c r="C63" s="4" t="s">
        <v>30</v>
      </c>
      <c r="D63" s="4">
        <v>600</v>
      </c>
      <c r="E63" s="4"/>
      <c r="F63" s="4">
        <v>600</v>
      </c>
      <c r="G63" s="4">
        <v>600</v>
      </c>
      <c r="H63" s="4"/>
      <c r="I63" s="4"/>
      <c r="J63" s="4">
        <v>500</v>
      </c>
      <c r="K63" s="4">
        <v>500</v>
      </c>
      <c r="L63" s="4"/>
      <c r="M63" s="4"/>
      <c r="N63" s="4">
        <v>500</v>
      </c>
      <c r="O63" s="4"/>
      <c r="P63" s="4"/>
      <c r="Q63" s="4"/>
    </row>
    <row r="64" spans="1:17" x14ac:dyDescent="0.4">
      <c r="A64" s="4" t="s">
        <v>54</v>
      </c>
      <c r="B64" s="4" t="s">
        <v>60</v>
      </c>
      <c r="C64" s="4" t="s">
        <v>31</v>
      </c>
      <c r="D64" s="4">
        <v>600</v>
      </c>
      <c r="E64" s="4"/>
      <c r="F64" s="4">
        <v>600</v>
      </c>
      <c r="G64" s="4">
        <v>600</v>
      </c>
      <c r="H64" s="4"/>
      <c r="I64" s="4"/>
      <c r="J64" s="4">
        <v>500</v>
      </c>
      <c r="K64" s="4">
        <v>500</v>
      </c>
      <c r="L64" s="4"/>
      <c r="M64" s="4"/>
      <c r="N64" s="4">
        <v>500</v>
      </c>
      <c r="O64" s="4"/>
      <c r="P64" s="4"/>
      <c r="Q64" s="4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/>
  </sheetViews>
  <sheetFormatPr defaultRowHeight="18.75" x14ac:dyDescent="0.4"/>
  <sheetData>
    <row r="1" spans="1:17" x14ac:dyDescent="0.4">
      <c r="A1" s="8" t="s">
        <v>83</v>
      </c>
    </row>
    <row r="2" spans="1:17" x14ac:dyDescent="0.4">
      <c r="A2" s="2" t="s">
        <v>0</v>
      </c>
      <c r="B2" s="2" t="s">
        <v>1</v>
      </c>
      <c r="C2" s="2" t="s">
        <v>2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  <c r="L2" s="3" t="s">
        <v>142</v>
      </c>
      <c r="M2" s="3" t="s">
        <v>143</v>
      </c>
      <c r="N2" s="3" t="s">
        <v>144</v>
      </c>
      <c r="O2" s="3" t="s">
        <v>145</v>
      </c>
      <c r="P2" s="3" t="s">
        <v>146</v>
      </c>
      <c r="Q2" s="3" t="s">
        <v>147</v>
      </c>
    </row>
    <row r="3" spans="1:17" x14ac:dyDescent="0.4">
      <c r="A3" s="2" t="s">
        <v>84</v>
      </c>
      <c r="B3" s="2" t="s">
        <v>102</v>
      </c>
      <c r="C3" s="2" t="s">
        <v>108</v>
      </c>
      <c r="D3" s="4">
        <v>1145</v>
      </c>
      <c r="E3" s="4"/>
      <c r="F3" s="4">
        <v>1133</v>
      </c>
      <c r="G3" s="4"/>
      <c r="H3" s="4">
        <v>1000</v>
      </c>
      <c r="I3" s="4"/>
      <c r="J3" s="4"/>
      <c r="K3" s="4">
        <v>1021</v>
      </c>
      <c r="L3" s="4"/>
      <c r="M3" s="4">
        <v>997</v>
      </c>
      <c r="N3" s="4"/>
      <c r="O3" s="4">
        <v>1070</v>
      </c>
      <c r="P3" s="4"/>
      <c r="Q3" s="4"/>
    </row>
    <row r="4" spans="1:17" x14ac:dyDescent="0.4">
      <c r="A4" s="2" t="s">
        <v>85</v>
      </c>
      <c r="B4" s="2" t="s">
        <v>102</v>
      </c>
      <c r="C4" s="2" t="s">
        <v>109</v>
      </c>
      <c r="D4" s="4"/>
      <c r="E4" s="4"/>
      <c r="F4" s="4"/>
      <c r="G4" s="4"/>
      <c r="H4" s="4"/>
      <c r="I4" s="4"/>
      <c r="J4" s="4"/>
      <c r="K4" s="4">
        <v>1300</v>
      </c>
      <c r="L4" s="4"/>
      <c r="M4" s="4">
        <v>1300</v>
      </c>
      <c r="N4" s="4"/>
      <c r="O4" s="4">
        <v>1400</v>
      </c>
      <c r="P4" s="4"/>
      <c r="Q4" s="4"/>
    </row>
    <row r="5" spans="1:17" x14ac:dyDescent="0.4">
      <c r="A5" s="2" t="s">
        <v>86</v>
      </c>
      <c r="B5" s="2" t="s">
        <v>101</v>
      </c>
      <c r="C5" s="2" t="s">
        <v>109</v>
      </c>
      <c r="D5" s="4">
        <v>1733</v>
      </c>
      <c r="E5" s="4"/>
      <c r="F5" s="4">
        <v>1666</v>
      </c>
      <c r="G5" s="4"/>
      <c r="H5" s="4">
        <v>1600</v>
      </c>
      <c r="I5" s="4"/>
      <c r="J5" s="4"/>
      <c r="K5" s="4">
        <v>1600</v>
      </c>
      <c r="L5" s="4"/>
      <c r="M5" s="4">
        <v>1591</v>
      </c>
      <c r="N5" s="4"/>
      <c r="O5" s="4">
        <v>1623</v>
      </c>
      <c r="P5" s="4"/>
      <c r="Q5" s="4"/>
    </row>
    <row r="6" spans="1:17" x14ac:dyDescent="0.4">
      <c r="A6" s="2" t="s">
        <v>87</v>
      </c>
      <c r="B6" s="2" t="s">
        <v>101</v>
      </c>
      <c r="C6" s="2" t="s">
        <v>31</v>
      </c>
      <c r="D6" s="4">
        <v>1909</v>
      </c>
      <c r="E6" s="4"/>
      <c r="F6" s="4">
        <v>1693</v>
      </c>
      <c r="G6" s="4"/>
      <c r="H6" s="4">
        <v>1683</v>
      </c>
      <c r="I6" s="4"/>
      <c r="J6" s="4"/>
      <c r="K6" s="4">
        <v>1629</v>
      </c>
      <c r="L6" s="4"/>
      <c r="M6" s="4">
        <v>1548</v>
      </c>
      <c r="N6" s="4"/>
      <c r="O6" s="4">
        <v>1620</v>
      </c>
      <c r="P6" s="4"/>
      <c r="Q6" s="4"/>
    </row>
    <row r="7" spans="1:17" x14ac:dyDescent="0.4">
      <c r="A7" s="2" t="s">
        <v>88</v>
      </c>
      <c r="B7" s="2" t="s">
        <v>101</v>
      </c>
      <c r="C7" s="2" t="s">
        <v>31</v>
      </c>
      <c r="D7" s="4">
        <v>1647</v>
      </c>
      <c r="E7" s="4"/>
      <c r="F7" s="4">
        <v>1525</v>
      </c>
      <c r="G7" s="4"/>
      <c r="H7" s="4">
        <v>1463</v>
      </c>
      <c r="I7" s="4"/>
      <c r="J7" s="4"/>
      <c r="K7" s="4">
        <v>1493</v>
      </c>
      <c r="L7" s="4"/>
      <c r="M7" s="4">
        <v>1419</v>
      </c>
      <c r="N7" s="4"/>
      <c r="O7" s="4">
        <v>1428</v>
      </c>
      <c r="P7" s="4"/>
      <c r="Q7" s="4"/>
    </row>
    <row r="8" spans="1:17" x14ac:dyDescent="0.4">
      <c r="A8" s="2" t="s">
        <v>89</v>
      </c>
      <c r="B8" s="2" t="s">
        <v>103</v>
      </c>
      <c r="C8" s="2" t="s">
        <v>110</v>
      </c>
      <c r="D8" s="4">
        <v>247</v>
      </c>
      <c r="E8" s="4"/>
      <c r="F8" s="4">
        <v>212</v>
      </c>
      <c r="G8" s="4"/>
      <c r="H8" s="4">
        <v>211</v>
      </c>
      <c r="I8" s="4"/>
      <c r="J8" s="4"/>
      <c r="K8" s="4">
        <v>213</v>
      </c>
      <c r="L8" s="4"/>
      <c r="M8" s="4">
        <v>217</v>
      </c>
      <c r="N8" s="4"/>
      <c r="O8" s="4">
        <v>208</v>
      </c>
      <c r="P8" s="4"/>
      <c r="Q8" s="4"/>
    </row>
    <row r="9" spans="1:17" x14ac:dyDescent="0.4">
      <c r="A9" s="2" t="s">
        <v>90</v>
      </c>
      <c r="B9" s="2" t="s">
        <v>104</v>
      </c>
      <c r="C9" s="2" t="s">
        <v>68</v>
      </c>
      <c r="D9" s="4">
        <v>220</v>
      </c>
      <c r="E9" s="4"/>
      <c r="F9" s="4">
        <v>210</v>
      </c>
      <c r="G9" s="4"/>
      <c r="H9" s="4">
        <v>205</v>
      </c>
      <c r="I9" s="4"/>
      <c r="J9" s="4"/>
      <c r="K9" s="4">
        <v>210</v>
      </c>
      <c r="L9" s="4"/>
      <c r="M9" s="4">
        <v>216</v>
      </c>
      <c r="N9" s="4"/>
      <c r="O9" s="4">
        <v>217</v>
      </c>
      <c r="P9" s="4"/>
      <c r="Q9" s="4"/>
    </row>
    <row r="10" spans="1:17" x14ac:dyDescent="0.4">
      <c r="A10" s="2" t="s">
        <v>91</v>
      </c>
      <c r="B10" s="2" t="s">
        <v>101</v>
      </c>
      <c r="C10" s="2" t="s">
        <v>31</v>
      </c>
      <c r="D10" s="4"/>
      <c r="E10" s="4"/>
      <c r="F10" s="4"/>
      <c r="G10" s="4"/>
      <c r="H10" s="4"/>
      <c r="I10" s="4"/>
      <c r="J10" s="4"/>
      <c r="K10" s="4">
        <v>1000</v>
      </c>
      <c r="L10" s="4"/>
      <c r="M10" s="4">
        <v>900</v>
      </c>
      <c r="N10" s="4"/>
      <c r="O10" s="4">
        <v>1000</v>
      </c>
      <c r="P10" s="4"/>
      <c r="Q10" s="4"/>
    </row>
    <row r="11" spans="1:17" x14ac:dyDescent="0.4">
      <c r="A11" s="2" t="s">
        <v>92</v>
      </c>
      <c r="B11" s="2" t="s">
        <v>101</v>
      </c>
      <c r="C11" s="2" t="s">
        <v>108</v>
      </c>
      <c r="D11" s="4">
        <v>1400</v>
      </c>
      <c r="E11" s="4"/>
      <c r="F11" s="4">
        <v>1400</v>
      </c>
      <c r="G11" s="4"/>
      <c r="H11" s="4">
        <v>1300</v>
      </c>
      <c r="I11" s="4"/>
      <c r="J11" s="4"/>
      <c r="K11" s="4">
        <v>1210</v>
      </c>
      <c r="L11" s="4"/>
      <c r="M11" s="4">
        <v>1157</v>
      </c>
      <c r="N11" s="4"/>
      <c r="O11" s="4">
        <v>1314</v>
      </c>
      <c r="P11" s="4"/>
      <c r="Q11" s="4"/>
    </row>
    <row r="12" spans="1:17" x14ac:dyDescent="0.4">
      <c r="A12" s="2" t="s">
        <v>93</v>
      </c>
      <c r="B12" s="2" t="s">
        <v>105</v>
      </c>
      <c r="C12" s="2" t="s">
        <v>68</v>
      </c>
      <c r="D12" s="4">
        <v>240</v>
      </c>
      <c r="E12" s="4"/>
      <c r="F12" s="4">
        <v>210</v>
      </c>
      <c r="G12" s="4"/>
      <c r="H12" s="4">
        <v>221</v>
      </c>
      <c r="I12" s="4"/>
      <c r="J12" s="4"/>
      <c r="K12" s="4">
        <v>213</v>
      </c>
      <c r="L12" s="4"/>
      <c r="M12" s="4">
        <v>209</v>
      </c>
      <c r="N12" s="4"/>
      <c r="O12" s="4">
        <v>206</v>
      </c>
      <c r="P12" s="4"/>
      <c r="Q12" s="4"/>
    </row>
    <row r="13" spans="1:17" x14ac:dyDescent="0.4">
      <c r="A13" s="2" t="s">
        <v>94</v>
      </c>
      <c r="B13" s="2" t="s">
        <v>101</v>
      </c>
      <c r="C13" s="2" t="s">
        <v>31</v>
      </c>
      <c r="D13" s="4">
        <v>1617</v>
      </c>
      <c r="E13" s="4"/>
      <c r="F13" s="4">
        <v>1443</v>
      </c>
      <c r="G13" s="4"/>
      <c r="H13" s="4">
        <v>1432</v>
      </c>
      <c r="I13" s="4"/>
      <c r="J13" s="4"/>
      <c r="K13" s="4">
        <v>1400</v>
      </c>
      <c r="L13" s="4"/>
      <c r="M13" s="4">
        <v>1398</v>
      </c>
      <c r="N13" s="4"/>
      <c r="O13" s="4">
        <v>1399</v>
      </c>
      <c r="P13" s="4"/>
      <c r="Q13" s="4"/>
    </row>
    <row r="14" spans="1:17" x14ac:dyDescent="0.4">
      <c r="A14" s="2" t="s">
        <v>95</v>
      </c>
      <c r="B14" s="2" t="s">
        <v>104</v>
      </c>
      <c r="C14" s="2" t="s">
        <v>68</v>
      </c>
      <c r="D14" s="4">
        <v>234</v>
      </c>
      <c r="E14" s="4"/>
      <c r="F14" s="4">
        <v>221</v>
      </c>
      <c r="G14" s="4"/>
      <c r="H14" s="4">
        <v>214</v>
      </c>
      <c r="I14" s="4"/>
      <c r="J14" s="4"/>
      <c r="K14" s="4">
        <v>206</v>
      </c>
      <c r="L14" s="4"/>
      <c r="M14" s="4">
        <v>212</v>
      </c>
      <c r="N14" s="4"/>
      <c r="O14" s="4">
        <v>209</v>
      </c>
      <c r="P14" s="4"/>
      <c r="Q14" s="4"/>
    </row>
    <row r="15" spans="1:17" x14ac:dyDescent="0.4">
      <c r="A15" s="2" t="s">
        <v>38</v>
      </c>
      <c r="B15" s="2" t="s">
        <v>101</v>
      </c>
      <c r="C15" s="2" t="s">
        <v>111</v>
      </c>
      <c r="D15" s="4">
        <v>1662</v>
      </c>
      <c r="E15" s="4"/>
      <c r="F15" s="4">
        <v>1470</v>
      </c>
      <c r="G15" s="4"/>
      <c r="H15" s="4">
        <v>1504</v>
      </c>
      <c r="I15" s="4"/>
      <c r="J15" s="4"/>
      <c r="K15" s="4">
        <v>1432</v>
      </c>
      <c r="L15" s="4"/>
      <c r="M15" s="4">
        <v>1353</v>
      </c>
      <c r="N15" s="4"/>
      <c r="O15" s="4">
        <v>1423</v>
      </c>
      <c r="P15" s="4"/>
      <c r="Q15" s="4"/>
    </row>
    <row r="16" spans="1:17" x14ac:dyDescent="0.4">
      <c r="A16" s="2" t="s">
        <v>96</v>
      </c>
      <c r="B16" s="2" t="s">
        <v>105</v>
      </c>
      <c r="C16" s="2" t="s">
        <v>68</v>
      </c>
      <c r="D16" s="4">
        <v>231</v>
      </c>
      <c r="E16" s="4"/>
      <c r="F16" s="4">
        <v>213</v>
      </c>
      <c r="G16" s="4"/>
      <c r="H16" s="4">
        <v>211</v>
      </c>
      <c r="I16" s="4"/>
      <c r="J16" s="4"/>
      <c r="K16" s="4">
        <v>212</v>
      </c>
      <c r="L16" s="4"/>
      <c r="M16" s="4">
        <v>217</v>
      </c>
      <c r="N16" s="4"/>
      <c r="O16" s="4">
        <v>210</v>
      </c>
      <c r="P16" s="4"/>
      <c r="Q16" s="4"/>
    </row>
    <row r="17" spans="1:17" x14ac:dyDescent="0.4">
      <c r="A17" s="2" t="s">
        <v>22</v>
      </c>
      <c r="B17" s="2" t="s">
        <v>101</v>
      </c>
      <c r="C17" s="2" t="s">
        <v>111</v>
      </c>
      <c r="D17" s="4">
        <v>1444</v>
      </c>
      <c r="E17" s="4"/>
      <c r="F17" s="4">
        <v>1340</v>
      </c>
      <c r="G17" s="4"/>
      <c r="H17" s="4">
        <v>1291</v>
      </c>
      <c r="I17" s="4"/>
      <c r="J17" s="4"/>
      <c r="K17" s="4">
        <v>1290</v>
      </c>
      <c r="L17" s="4"/>
      <c r="M17" s="4">
        <v>1200</v>
      </c>
      <c r="N17" s="4"/>
      <c r="O17" s="4">
        <v>1234</v>
      </c>
      <c r="P17" s="4"/>
      <c r="Q17" s="4"/>
    </row>
    <row r="18" spans="1:17" x14ac:dyDescent="0.4">
      <c r="A18" s="2" t="s">
        <v>97</v>
      </c>
      <c r="B18" s="2" t="s">
        <v>106</v>
      </c>
      <c r="C18" s="2" t="s">
        <v>68</v>
      </c>
      <c r="D18" s="4">
        <v>228</v>
      </c>
      <c r="E18" s="4"/>
      <c r="F18" s="4">
        <v>207</v>
      </c>
      <c r="G18" s="4"/>
      <c r="H18" s="4">
        <v>205</v>
      </c>
      <c r="I18" s="4"/>
      <c r="J18" s="4"/>
      <c r="K18" s="4">
        <v>220</v>
      </c>
      <c r="L18" s="4"/>
      <c r="M18" s="4">
        <v>207</v>
      </c>
      <c r="N18" s="4"/>
      <c r="O18" s="4">
        <v>209</v>
      </c>
      <c r="P18" s="4"/>
      <c r="Q18" s="4"/>
    </row>
    <row r="19" spans="1:17" x14ac:dyDescent="0.4">
      <c r="A19" s="2" t="s">
        <v>98</v>
      </c>
      <c r="B19" s="2" t="s">
        <v>105</v>
      </c>
      <c r="C19" s="2" t="s">
        <v>112</v>
      </c>
      <c r="D19" s="4">
        <v>221</v>
      </c>
      <c r="E19" s="4"/>
      <c r="F19" s="4">
        <v>209</v>
      </c>
      <c r="G19" s="4"/>
      <c r="H19" s="4">
        <v>200</v>
      </c>
      <c r="I19" s="4"/>
      <c r="J19" s="4"/>
      <c r="K19" s="4">
        <v>210</v>
      </c>
      <c r="L19" s="4"/>
      <c r="M19" s="4">
        <v>200</v>
      </c>
      <c r="N19" s="4"/>
      <c r="O19" s="4">
        <v>200</v>
      </c>
      <c r="P19" s="4"/>
      <c r="Q19" s="4"/>
    </row>
    <row r="20" spans="1:17" x14ac:dyDescent="0.4">
      <c r="A20" s="2" t="s">
        <v>99</v>
      </c>
      <c r="B20" s="2" t="s">
        <v>101</v>
      </c>
      <c r="C20" s="2" t="s">
        <v>30</v>
      </c>
      <c r="D20" s="4">
        <v>914</v>
      </c>
      <c r="E20" s="4"/>
      <c r="F20" s="4">
        <v>933</v>
      </c>
      <c r="G20" s="4"/>
      <c r="H20" s="4">
        <v>800</v>
      </c>
      <c r="I20" s="4"/>
      <c r="J20" s="4"/>
      <c r="K20" s="4">
        <v>800</v>
      </c>
      <c r="L20" s="4"/>
      <c r="M20" s="4">
        <v>800</v>
      </c>
      <c r="N20" s="4"/>
      <c r="O20" s="4">
        <v>800</v>
      </c>
      <c r="P20" s="4"/>
      <c r="Q20" s="4"/>
    </row>
    <row r="21" spans="1:17" x14ac:dyDescent="0.4">
      <c r="A21" s="2" t="s">
        <v>100</v>
      </c>
      <c r="B21" s="2" t="s">
        <v>107</v>
      </c>
      <c r="C21" s="2" t="s">
        <v>111</v>
      </c>
      <c r="D21" s="4">
        <v>200</v>
      </c>
      <c r="E21" s="4"/>
      <c r="F21" s="4">
        <v>200</v>
      </c>
      <c r="G21" s="4"/>
      <c r="H21" s="4">
        <v>200</v>
      </c>
      <c r="I21" s="4"/>
      <c r="J21" s="4"/>
      <c r="K21" s="4">
        <v>216</v>
      </c>
      <c r="L21" s="4"/>
      <c r="M21" s="4">
        <v>200</v>
      </c>
      <c r="N21" s="4"/>
      <c r="O21" s="4">
        <v>210</v>
      </c>
      <c r="P21" s="4"/>
      <c r="Q21" s="4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/>
  </sheetViews>
  <sheetFormatPr defaultRowHeight="18.75" x14ac:dyDescent="0.4"/>
  <sheetData>
    <row r="1" spans="1:17" x14ac:dyDescent="0.4">
      <c r="A1" s="8" t="s">
        <v>192</v>
      </c>
    </row>
    <row r="2" spans="1:17" x14ac:dyDescent="0.4">
      <c r="A2" s="2" t="s">
        <v>0</v>
      </c>
      <c r="B2" s="2" t="s">
        <v>1</v>
      </c>
      <c r="C2" s="2" t="s">
        <v>2</v>
      </c>
      <c r="D2" s="2" t="s">
        <v>133</v>
      </c>
      <c r="E2" s="2" t="s">
        <v>135</v>
      </c>
      <c r="F2" s="2" t="s">
        <v>136</v>
      </c>
      <c r="G2" s="2" t="s">
        <v>137</v>
      </c>
      <c r="H2" s="2" t="s">
        <v>138</v>
      </c>
      <c r="I2" s="2" t="s">
        <v>139</v>
      </c>
      <c r="J2" s="2" t="s">
        <v>140</v>
      </c>
      <c r="K2" s="2" t="s">
        <v>141</v>
      </c>
      <c r="L2" s="2" t="s">
        <v>142</v>
      </c>
      <c r="M2" s="2" t="s">
        <v>143</v>
      </c>
      <c r="N2" s="2" t="s">
        <v>144</v>
      </c>
      <c r="O2" s="2" t="s">
        <v>145</v>
      </c>
      <c r="P2" s="2" t="s">
        <v>146</v>
      </c>
      <c r="Q2" s="2" t="s">
        <v>147</v>
      </c>
    </row>
    <row r="3" spans="1:17" x14ac:dyDescent="0.4">
      <c r="A3" s="2" t="s">
        <v>193</v>
      </c>
      <c r="B3" s="2" t="s">
        <v>202</v>
      </c>
      <c r="C3" s="2" t="s">
        <v>203</v>
      </c>
      <c r="D3" s="4"/>
      <c r="E3" s="4"/>
      <c r="F3" s="4">
        <v>3600</v>
      </c>
      <c r="G3" s="4"/>
      <c r="H3" s="4">
        <v>3600</v>
      </c>
      <c r="I3" s="4"/>
      <c r="J3" s="4">
        <v>3600</v>
      </c>
      <c r="K3" s="4">
        <v>3600</v>
      </c>
      <c r="L3" s="4">
        <v>3600</v>
      </c>
      <c r="M3" s="4"/>
      <c r="N3" s="4"/>
      <c r="O3" s="4"/>
      <c r="P3" s="4"/>
      <c r="Q3" s="4"/>
    </row>
    <row r="4" spans="1:17" x14ac:dyDescent="0.4">
      <c r="A4" s="2" t="s">
        <v>194</v>
      </c>
      <c r="B4" s="2" t="s">
        <v>204</v>
      </c>
      <c r="C4" s="2" t="s">
        <v>203</v>
      </c>
      <c r="D4" s="4"/>
      <c r="E4" s="4"/>
      <c r="F4" s="4">
        <v>4500</v>
      </c>
      <c r="G4" s="4"/>
      <c r="H4" s="4">
        <v>4500</v>
      </c>
      <c r="I4" s="4"/>
      <c r="J4" s="4">
        <v>4500</v>
      </c>
      <c r="K4" s="4">
        <v>4500</v>
      </c>
      <c r="L4" s="4">
        <v>4500</v>
      </c>
      <c r="M4" s="4"/>
      <c r="N4" s="4"/>
      <c r="O4" s="4"/>
      <c r="P4" s="4"/>
      <c r="Q4" s="4"/>
    </row>
    <row r="5" spans="1:17" x14ac:dyDescent="0.4">
      <c r="A5" s="2" t="s">
        <v>195</v>
      </c>
      <c r="B5" s="2" t="s">
        <v>201</v>
      </c>
      <c r="C5" s="2" t="s">
        <v>203</v>
      </c>
      <c r="D5" s="4"/>
      <c r="E5" s="4"/>
      <c r="F5" s="4">
        <v>5400</v>
      </c>
      <c r="G5" s="4"/>
      <c r="H5" s="4">
        <v>5400</v>
      </c>
      <c r="I5" s="4"/>
      <c r="J5" s="4"/>
      <c r="K5" s="4">
        <v>5400</v>
      </c>
      <c r="L5" s="4">
        <v>5400</v>
      </c>
      <c r="M5" s="4"/>
      <c r="N5" s="4"/>
      <c r="O5" s="4"/>
      <c r="P5" s="4"/>
      <c r="Q5" s="4"/>
    </row>
    <row r="6" spans="1:17" x14ac:dyDescent="0.4">
      <c r="A6" s="2" t="s">
        <v>205</v>
      </c>
      <c r="B6" s="2" t="s">
        <v>201</v>
      </c>
      <c r="C6" s="2" t="s">
        <v>203</v>
      </c>
      <c r="D6" s="4"/>
      <c r="E6" s="4"/>
      <c r="F6" s="4"/>
      <c r="G6" s="4"/>
      <c r="H6" s="4">
        <v>4800</v>
      </c>
      <c r="I6" s="4"/>
      <c r="J6" s="4"/>
      <c r="K6" s="4"/>
      <c r="L6" s="4"/>
      <c r="M6" s="4"/>
      <c r="N6" s="4"/>
      <c r="O6" s="4"/>
      <c r="P6" s="4"/>
      <c r="Q6" s="4"/>
    </row>
    <row r="7" spans="1:17" x14ac:dyDescent="0.4">
      <c r="A7" s="2" t="s">
        <v>196</v>
      </c>
      <c r="B7" s="2" t="s">
        <v>201</v>
      </c>
      <c r="C7" s="2" t="s">
        <v>203</v>
      </c>
      <c r="D7" s="4"/>
      <c r="E7" s="4"/>
      <c r="F7" s="4">
        <v>3200</v>
      </c>
      <c r="G7" s="4"/>
      <c r="H7" s="4">
        <v>3200</v>
      </c>
      <c r="I7" s="4"/>
      <c r="J7" s="4">
        <v>3200</v>
      </c>
      <c r="K7" s="4">
        <v>3200</v>
      </c>
      <c r="L7" s="4">
        <v>3200</v>
      </c>
      <c r="M7" s="4"/>
      <c r="N7" s="4"/>
      <c r="O7" s="4"/>
      <c r="P7" s="4"/>
      <c r="Q7" s="4"/>
    </row>
    <row r="8" spans="1:17" x14ac:dyDescent="0.4">
      <c r="A8" s="2" t="s">
        <v>197</v>
      </c>
      <c r="B8" s="2" t="s">
        <v>201</v>
      </c>
      <c r="C8" s="2" t="s">
        <v>203</v>
      </c>
      <c r="D8" s="4"/>
      <c r="E8" s="4"/>
      <c r="F8" s="4">
        <v>4000</v>
      </c>
      <c r="G8" s="4"/>
      <c r="H8" s="4">
        <v>4000</v>
      </c>
      <c r="I8" s="4"/>
      <c r="J8" s="4"/>
      <c r="K8" s="4">
        <v>4000</v>
      </c>
      <c r="L8" s="4">
        <v>4000</v>
      </c>
      <c r="M8" s="4"/>
      <c r="N8" s="4"/>
      <c r="O8" s="4"/>
      <c r="P8" s="4"/>
      <c r="Q8" s="4"/>
    </row>
    <row r="9" spans="1:17" x14ac:dyDescent="0.4">
      <c r="A9" s="2" t="s">
        <v>198</v>
      </c>
      <c r="B9" s="2" t="s">
        <v>201</v>
      </c>
      <c r="C9" s="2" t="s">
        <v>203</v>
      </c>
      <c r="D9" s="4"/>
      <c r="E9" s="4"/>
      <c r="F9" s="4">
        <v>4800</v>
      </c>
      <c r="G9" s="4"/>
      <c r="H9" s="4">
        <v>4800</v>
      </c>
      <c r="I9" s="4"/>
      <c r="J9" s="4"/>
      <c r="K9" s="4"/>
      <c r="L9" s="4">
        <v>4800</v>
      </c>
      <c r="M9" s="4"/>
      <c r="N9" s="4"/>
      <c r="O9" s="4"/>
      <c r="P9" s="4"/>
      <c r="Q9" s="4"/>
    </row>
    <row r="10" spans="1:17" x14ac:dyDescent="0.4">
      <c r="A10" s="2" t="s">
        <v>199</v>
      </c>
      <c r="B10" s="2" t="s">
        <v>201</v>
      </c>
      <c r="C10" s="2" t="s">
        <v>203</v>
      </c>
      <c r="D10" s="4"/>
      <c r="E10" s="4"/>
      <c r="F10" s="4">
        <v>2800</v>
      </c>
      <c r="G10" s="4"/>
      <c r="H10" s="4">
        <v>2800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4">
      <c r="A11" s="2" t="s">
        <v>200</v>
      </c>
      <c r="B11" s="2" t="s">
        <v>201</v>
      </c>
      <c r="C11" s="2" t="s">
        <v>203</v>
      </c>
      <c r="D11" s="4"/>
      <c r="E11" s="4"/>
      <c r="F11" s="4">
        <v>3500</v>
      </c>
      <c r="G11" s="4"/>
      <c r="H11" s="4">
        <v>3500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4">
      <c r="A12" s="2" t="s">
        <v>206</v>
      </c>
      <c r="B12" s="2" t="s">
        <v>201</v>
      </c>
      <c r="C12" s="2" t="s">
        <v>203</v>
      </c>
      <c r="D12" s="4"/>
      <c r="E12" s="4"/>
      <c r="F12" s="4"/>
      <c r="G12" s="4"/>
      <c r="H12" s="4">
        <v>3600</v>
      </c>
      <c r="I12" s="4"/>
      <c r="J12" s="4"/>
      <c r="K12" s="4"/>
      <c r="L12" s="4"/>
      <c r="M12" s="4"/>
      <c r="N12" s="4"/>
      <c r="O12" s="4"/>
      <c r="P12" s="4"/>
      <c r="Q12" s="4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/>
  </sheetViews>
  <sheetFormatPr defaultRowHeight="18.75" x14ac:dyDescent="0.4"/>
  <sheetData>
    <row r="1" spans="1:17" x14ac:dyDescent="0.4">
      <c r="A1" s="8" t="s">
        <v>113</v>
      </c>
    </row>
    <row r="2" spans="1:17" x14ac:dyDescent="0.4">
      <c r="A2" s="2" t="s">
        <v>0</v>
      </c>
      <c r="B2" s="2" t="s">
        <v>1</v>
      </c>
      <c r="C2" s="2" t="s">
        <v>2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  <c r="L2" s="3" t="s">
        <v>142</v>
      </c>
      <c r="M2" s="3" t="s">
        <v>143</v>
      </c>
      <c r="N2" s="3" t="s">
        <v>144</v>
      </c>
      <c r="O2" s="3" t="s">
        <v>145</v>
      </c>
      <c r="P2" s="3" t="s">
        <v>146</v>
      </c>
      <c r="Q2" s="3" t="s">
        <v>147</v>
      </c>
    </row>
    <row r="3" spans="1:17" x14ac:dyDescent="0.4">
      <c r="A3" s="2" t="s">
        <v>114</v>
      </c>
      <c r="B3" s="2" t="s">
        <v>117</v>
      </c>
      <c r="C3" s="2" t="s">
        <v>31</v>
      </c>
      <c r="D3" s="4">
        <v>2162</v>
      </c>
      <c r="E3" s="4"/>
      <c r="F3" s="4">
        <v>2031</v>
      </c>
      <c r="G3" s="4">
        <v>2162</v>
      </c>
      <c r="H3" s="4">
        <v>2069</v>
      </c>
      <c r="I3" s="4"/>
      <c r="J3" s="4">
        <v>2069</v>
      </c>
      <c r="K3" s="4">
        <v>2158</v>
      </c>
      <c r="L3" s="4"/>
      <c r="M3" s="4">
        <v>2085</v>
      </c>
      <c r="N3" s="4">
        <v>2149</v>
      </c>
      <c r="O3" s="4">
        <v>2196</v>
      </c>
      <c r="P3" s="4"/>
      <c r="Q3" s="4">
        <v>2296</v>
      </c>
    </row>
    <row r="4" spans="1:17" x14ac:dyDescent="0.4">
      <c r="A4" s="2" t="s">
        <v>45</v>
      </c>
      <c r="B4" s="2" t="s">
        <v>118</v>
      </c>
      <c r="C4" s="2" t="s">
        <v>31</v>
      </c>
      <c r="D4" s="4">
        <v>1400</v>
      </c>
      <c r="E4" s="4"/>
      <c r="F4" s="4">
        <v>1228</v>
      </c>
      <c r="G4" s="4">
        <v>1538</v>
      </c>
      <c r="H4" s="4">
        <v>1182</v>
      </c>
      <c r="I4" s="4"/>
      <c r="J4" s="4">
        <v>1600</v>
      </c>
      <c r="K4" s="4">
        <v>1362</v>
      </c>
      <c r="L4" s="4"/>
      <c r="M4" s="4">
        <v>1600</v>
      </c>
      <c r="N4" s="4">
        <v>2182</v>
      </c>
      <c r="O4" s="4">
        <v>1600</v>
      </c>
      <c r="P4" s="4"/>
      <c r="Q4" s="4"/>
    </row>
    <row r="5" spans="1:17" x14ac:dyDescent="0.4">
      <c r="A5" s="2" t="s">
        <v>149</v>
      </c>
      <c r="B5" s="2" t="s">
        <v>101</v>
      </c>
      <c r="C5" s="2" t="s">
        <v>30</v>
      </c>
      <c r="D5" s="4">
        <v>2505</v>
      </c>
      <c r="E5" s="4"/>
      <c r="F5" s="4">
        <v>2505</v>
      </c>
      <c r="G5" s="4">
        <v>2505</v>
      </c>
      <c r="H5" s="4">
        <v>2505</v>
      </c>
      <c r="I5" s="4"/>
      <c r="J5" s="4">
        <v>2505</v>
      </c>
      <c r="K5" s="4">
        <v>2505</v>
      </c>
      <c r="L5" s="4"/>
      <c r="M5" s="4">
        <v>2505</v>
      </c>
      <c r="N5" s="4">
        <v>2505</v>
      </c>
      <c r="O5" s="4">
        <v>2505</v>
      </c>
      <c r="P5" s="4"/>
      <c r="Q5" s="4">
        <v>2505</v>
      </c>
    </row>
    <row r="6" spans="1:17" x14ac:dyDescent="0.4">
      <c r="A6" s="2" t="s">
        <v>115</v>
      </c>
      <c r="B6" s="2" t="s">
        <v>101</v>
      </c>
      <c r="C6" s="2" t="s">
        <v>119</v>
      </c>
      <c r="D6" s="4">
        <v>2412</v>
      </c>
      <c r="E6" s="4"/>
      <c r="F6" s="4">
        <v>2388</v>
      </c>
      <c r="G6" s="4">
        <v>2359</v>
      </c>
      <c r="H6" s="4">
        <v>2278</v>
      </c>
      <c r="I6" s="4"/>
      <c r="J6" s="4">
        <v>2341</v>
      </c>
      <c r="K6" s="4">
        <v>2343</v>
      </c>
      <c r="L6" s="4"/>
      <c r="M6" s="4">
        <v>2417</v>
      </c>
      <c r="N6" s="4">
        <v>2455</v>
      </c>
      <c r="O6" s="4">
        <v>2489</v>
      </c>
      <c r="P6" s="4"/>
      <c r="Q6" s="4">
        <v>2677</v>
      </c>
    </row>
    <row r="7" spans="1:17" x14ac:dyDescent="0.4">
      <c r="A7" s="2" t="s">
        <v>116</v>
      </c>
      <c r="B7" s="2" t="s">
        <v>101</v>
      </c>
      <c r="C7" s="2" t="s">
        <v>120</v>
      </c>
      <c r="D7" s="4">
        <v>2390</v>
      </c>
      <c r="E7" s="4"/>
      <c r="F7" s="4">
        <v>2385</v>
      </c>
      <c r="G7" s="4">
        <v>2452</v>
      </c>
      <c r="H7" s="4">
        <v>2375</v>
      </c>
      <c r="I7" s="4"/>
      <c r="J7" s="4">
        <v>2471</v>
      </c>
      <c r="K7" s="4">
        <v>2610</v>
      </c>
      <c r="L7" s="4"/>
      <c r="M7" s="4">
        <v>2609</v>
      </c>
      <c r="N7" s="4">
        <v>2796</v>
      </c>
      <c r="O7" s="4">
        <v>2985</v>
      </c>
      <c r="P7" s="4"/>
      <c r="Q7" s="4">
        <v>3052</v>
      </c>
    </row>
    <row r="8" spans="1:17" x14ac:dyDescent="0.4">
      <c r="A8" s="2" t="s">
        <v>150</v>
      </c>
      <c r="B8" s="2" t="s">
        <v>101</v>
      </c>
      <c r="C8" s="2" t="s">
        <v>30</v>
      </c>
      <c r="D8" s="4">
        <v>2000</v>
      </c>
      <c r="E8" s="4"/>
      <c r="F8" s="4"/>
      <c r="G8" s="4"/>
      <c r="H8" s="4"/>
      <c r="I8" s="4"/>
      <c r="J8" s="4"/>
      <c r="K8" s="4"/>
      <c r="L8" s="4"/>
      <c r="M8" s="4"/>
      <c r="N8" s="4"/>
      <c r="O8" s="4">
        <v>2309</v>
      </c>
      <c r="P8" s="4"/>
      <c r="Q8" s="4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/>
  </sheetViews>
  <sheetFormatPr defaultRowHeight="18.75" x14ac:dyDescent="0.4"/>
  <sheetData>
    <row r="1" spans="1:17" x14ac:dyDescent="0.4">
      <c r="A1" s="8" t="s">
        <v>125</v>
      </c>
    </row>
    <row r="2" spans="1:17" x14ac:dyDescent="0.4">
      <c r="A2" s="2" t="s">
        <v>0</v>
      </c>
      <c r="B2" s="2" t="s">
        <v>1</v>
      </c>
      <c r="C2" s="2" t="s">
        <v>2</v>
      </c>
      <c r="D2" s="2" t="s">
        <v>133</v>
      </c>
      <c r="E2" s="2" t="s">
        <v>135</v>
      </c>
      <c r="F2" s="2" t="s">
        <v>136</v>
      </c>
      <c r="G2" s="2" t="s">
        <v>137</v>
      </c>
      <c r="H2" s="2" t="s">
        <v>138</v>
      </c>
      <c r="I2" s="2" t="s">
        <v>139</v>
      </c>
      <c r="J2" s="2" t="s">
        <v>140</v>
      </c>
      <c r="K2" s="2" t="s">
        <v>141</v>
      </c>
      <c r="L2" s="2" t="s">
        <v>142</v>
      </c>
      <c r="M2" s="2" t="s">
        <v>143</v>
      </c>
      <c r="N2" s="2" t="s">
        <v>144</v>
      </c>
      <c r="O2" s="2" t="s">
        <v>145</v>
      </c>
      <c r="P2" s="2" t="s">
        <v>146</v>
      </c>
      <c r="Q2" s="2" t="s">
        <v>147</v>
      </c>
    </row>
    <row r="3" spans="1:17" x14ac:dyDescent="0.4">
      <c r="A3" s="2" t="s">
        <v>121</v>
      </c>
      <c r="B3" s="2" t="s">
        <v>122</v>
      </c>
      <c r="C3" s="2" t="s">
        <v>124</v>
      </c>
      <c r="D3" s="2">
        <v>100</v>
      </c>
      <c r="E3" s="2"/>
      <c r="F3" s="2">
        <v>90</v>
      </c>
      <c r="G3" s="2">
        <v>93</v>
      </c>
      <c r="H3" s="2"/>
      <c r="I3" s="2">
        <v>92</v>
      </c>
      <c r="J3" s="2">
        <v>101</v>
      </c>
      <c r="K3" s="2">
        <v>118</v>
      </c>
      <c r="L3" s="2"/>
      <c r="M3" s="2">
        <v>120</v>
      </c>
      <c r="N3" s="2">
        <v>123</v>
      </c>
      <c r="O3" s="2">
        <v>126</v>
      </c>
      <c r="P3" s="2"/>
      <c r="Q3" s="2">
        <v>130</v>
      </c>
    </row>
    <row r="4" spans="1:17" x14ac:dyDescent="0.4">
      <c r="A4" s="2" t="s">
        <v>20</v>
      </c>
      <c r="B4" s="2" t="s">
        <v>123</v>
      </c>
      <c r="C4" s="2" t="s">
        <v>68</v>
      </c>
      <c r="D4" s="2"/>
      <c r="E4" s="2"/>
      <c r="F4" s="2">
        <v>70</v>
      </c>
      <c r="G4" s="2"/>
      <c r="H4" s="2"/>
      <c r="I4" s="2">
        <v>80</v>
      </c>
      <c r="J4" s="2">
        <v>90</v>
      </c>
      <c r="K4" s="2"/>
      <c r="L4" s="2"/>
      <c r="M4" s="2"/>
      <c r="N4" s="2">
        <v>100</v>
      </c>
      <c r="O4" s="2">
        <v>100</v>
      </c>
      <c r="P4" s="2"/>
      <c r="Q4" s="2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/>
  </sheetViews>
  <sheetFormatPr defaultRowHeight="18.75" x14ac:dyDescent="0.4"/>
  <sheetData>
    <row r="1" spans="1:17" x14ac:dyDescent="0.4">
      <c r="A1" s="8" t="s">
        <v>151</v>
      </c>
    </row>
    <row r="2" spans="1:17" x14ac:dyDescent="0.4">
      <c r="A2" s="2" t="s">
        <v>0</v>
      </c>
      <c r="B2" s="2" t="s">
        <v>1</v>
      </c>
      <c r="C2" s="2" t="s">
        <v>2</v>
      </c>
      <c r="D2" s="2" t="s">
        <v>133</v>
      </c>
      <c r="E2" s="2" t="s">
        <v>135</v>
      </c>
      <c r="F2" s="2" t="s">
        <v>136</v>
      </c>
      <c r="G2" s="2" t="s">
        <v>137</v>
      </c>
      <c r="H2" s="2" t="s">
        <v>138</v>
      </c>
      <c r="I2" s="2" t="s">
        <v>139</v>
      </c>
      <c r="J2" s="2" t="s">
        <v>140</v>
      </c>
      <c r="K2" s="2" t="s">
        <v>141</v>
      </c>
      <c r="L2" s="2" t="s">
        <v>142</v>
      </c>
      <c r="M2" s="2" t="s">
        <v>143</v>
      </c>
      <c r="N2" s="2" t="s">
        <v>144</v>
      </c>
      <c r="O2" s="2" t="s">
        <v>145</v>
      </c>
      <c r="P2" s="2" t="s">
        <v>146</v>
      </c>
      <c r="Q2" s="2" t="s">
        <v>147</v>
      </c>
    </row>
    <row r="3" spans="1:17" x14ac:dyDescent="0.4">
      <c r="A3" s="2" t="s">
        <v>152</v>
      </c>
      <c r="B3" s="2" t="s">
        <v>153</v>
      </c>
      <c r="C3" s="2" t="s">
        <v>154</v>
      </c>
      <c r="D3" s="4">
        <v>1718</v>
      </c>
      <c r="E3" s="4"/>
      <c r="F3" s="4">
        <v>2200</v>
      </c>
      <c r="G3" s="4"/>
      <c r="H3" s="4">
        <v>1874</v>
      </c>
      <c r="I3" s="4"/>
      <c r="J3" s="4">
        <v>1941</v>
      </c>
      <c r="K3" s="4">
        <v>1900</v>
      </c>
      <c r="L3" s="4"/>
      <c r="M3" s="4">
        <v>1718</v>
      </c>
      <c r="N3" s="4"/>
      <c r="O3" s="4">
        <v>1794</v>
      </c>
      <c r="P3" s="4"/>
      <c r="Q3" s="4"/>
    </row>
    <row r="4" spans="1:17" x14ac:dyDescent="0.4">
      <c r="A4" s="2" t="s">
        <v>155</v>
      </c>
      <c r="B4" s="2" t="s">
        <v>166</v>
      </c>
      <c r="C4" s="2" t="s">
        <v>154</v>
      </c>
      <c r="D4" s="4">
        <v>1516</v>
      </c>
      <c r="E4" s="4"/>
      <c r="F4" s="4">
        <v>1516</v>
      </c>
      <c r="G4" s="4"/>
      <c r="H4" s="4">
        <v>1516</v>
      </c>
      <c r="I4" s="4"/>
      <c r="J4" s="4">
        <v>1728</v>
      </c>
      <c r="K4" s="4">
        <v>1700</v>
      </c>
      <c r="L4" s="4"/>
      <c r="M4" s="4">
        <v>1516</v>
      </c>
      <c r="N4" s="4"/>
      <c r="O4" s="4">
        <v>1563</v>
      </c>
      <c r="P4" s="4"/>
      <c r="Q4" s="4"/>
    </row>
    <row r="5" spans="1:17" x14ac:dyDescent="0.4">
      <c r="A5" s="2" t="s">
        <v>156</v>
      </c>
      <c r="B5" s="2" t="s">
        <v>28</v>
      </c>
      <c r="C5" s="2" t="s">
        <v>154</v>
      </c>
      <c r="D5" s="4">
        <v>1718</v>
      </c>
      <c r="E5" s="4"/>
      <c r="F5" s="4">
        <v>1733</v>
      </c>
      <c r="G5" s="4"/>
      <c r="H5" s="4">
        <v>1923</v>
      </c>
      <c r="I5" s="4"/>
      <c r="J5" s="4">
        <v>2000</v>
      </c>
      <c r="K5" s="4">
        <v>2000</v>
      </c>
      <c r="L5" s="4"/>
      <c r="M5" s="4">
        <v>1718</v>
      </c>
      <c r="N5" s="4">
        <v>2200</v>
      </c>
      <c r="O5" s="4">
        <v>1865</v>
      </c>
      <c r="P5" s="4"/>
      <c r="Q5" s="4"/>
    </row>
    <row r="6" spans="1:17" x14ac:dyDescent="0.4">
      <c r="A6" s="2" t="s">
        <v>157</v>
      </c>
      <c r="B6" s="2" t="s">
        <v>28</v>
      </c>
      <c r="C6" s="2" t="s">
        <v>154</v>
      </c>
      <c r="D6" s="4">
        <v>1744</v>
      </c>
      <c r="E6" s="4"/>
      <c r="F6" s="4">
        <v>1516</v>
      </c>
      <c r="G6" s="4">
        <v>2000</v>
      </c>
      <c r="H6" s="4">
        <v>1830</v>
      </c>
      <c r="I6" s="4"/>
      <c r="J6" s="4">
        <v>1800</v>
      </c>
      <c r="K6" s="4">
        <v>1800</v>
      </c>
      <c r="L6" s="4"/>
      <c r="M6" s="4">
        <v>1516</v>
      </c>
      <c r="N6" s="4">
        <v>1818</v>
      </c>
      <c r="O6" s="4">
        <v>1588</v>
      </c>
      <c r="P6" s="4"/>
      <c r="Q6" s="4"/>
    </row>
    <row r="7" spans="1:17" x14ac:dyDescent="0.4">
      <c r="A7" s="2" t="s">
        <v>158</v>
      </c>
      <c r="B7" s="2" t="s">
        <v>28</v>
      </c>
      <c r="C7" s="2" t="s">
        <v>154</v>
      </c>
      <c r="D7" s="4">
        <v>1828</v>
      </c>
      <c r="E7" s="4"/>
      <c r="F7" s="4">
        <v>1884</v>
      </c>
      <c r="G7" s="4">
        <v>2200</v>
      </c>
      <c r="H7" s="4">
        <v>1922</v>
      </c>
      <c r="I7" s="4"/>
      <c r="J7" s="4">
        <v>2074</v>
      </c>
      <c r="K7" s="4">
        <v>2072</v>
      </c>
      <c r="L7" s="4"/>
      <c r="M7" s="4">
        <v>1781</v>
      </c>
      <c r="N7" s="4">
        <v>2200</v>
      </c>
      <c r="O7" s="4">
        <v>1980</v>
      </c>
      <c r="P7" s="4"/>
      <c r="Q7" s="4"/>
    </row>
    <row r="8" spans="1:17" x14ac:dyDescent="0.4">
      <c r="A8" s="2" t="s">
        <v>159</v>
      </c>
      <c r="B8" s="2" t="s">
        <v>28</v>
      </c>
      <c r="C8" s="2" t="s">
        <v>154</v>
      </c>
      <c r="D8" s="4">
        <v>2000</v>
      </c>
      <c r="E8" s="4"/>
      <c r="F8" s="4">
        <v>1880</v>
      </c>
      <c r="G8" s="4">
        <v>1800</v>
      </c>
      <c r="H8" s="4">
        <v>1811</v>
      </c>
      <c r="I8" s="4"/>
      <c r="J8" s="4">
        <v>1809</v>
      </c>
      <c r="K8" s="4">
        <v>1806</v>
      </c>
      <c r="L8" s="4"/>
      <c r="M8" s="4">
        <v>1807</v>
      </c>
      <c r="N8" s="4">
        <v>1807</v>
      </c>
      <c r="O8" s="4">
        <v>1815</v>
      </c>
      <c r="P8" s="4"/>
      <c r="Q8" s="4"/>
    </row>
    <row r="9" spans="1:17" x14ac:dyDescent="0.4">
      <c r="A9" s="2" t="s">
        <v>160</v>
      </c>
      <c r="B9" s="2" t="s">
        <v>28</v>
      </c>
      <c r="C9" s="2" t="s">
        <v>154</v>
      </c>
      <c r="D9" s="4">
        <v>2219</v>
      </c>
      <c r="E9" s="4"/>
      <c r="F9" s="4">
        <v>2210</v>
      </c>
      <c r="G9" s="4">
        <v>2207</v>
      </c>
      <c r="H9" s="4">
        <v>2171</v>
      </c>
      <c r="I9" s="4"/>
      <c r="J9" s="4">
        <v>2179</v>
      </c>
      <c r="K9" s="4">
        <v>2201</v>
      </c>
      <c r="L9" s="4"/>
      <c r="M9" s="4">
        <v>2182</v>
      </c>
      <c r="N9" s="4">
        <v>2187</v>
      </c>
      <c r="O9" s="4">
        <v>2204</v>
      </c>
      <c r="P9" s="4"/>
      <c r="Q9" s="4"/>
    </row>
    <row r="10" spans="1:17" x14ac:dyDescent="0.4">
      <c r="A10" s="2" t="s">
        <v>161</v>
      </c>
      <c r="B10" s="2" t="s">
        <v>28</v>
      </c>
      <c r="C10" s="2" t="s">
        <v>154</v>
      </c>
      <c r="D10" s="4">
        <v>2012</v>
      </c>
      <c r="E10" s="4"/>
      <c r="F10" s="4">
        <v>1978</v>
      </c>
      <c r="G10" s="4">
        <v>1985</v>
      </c>
      <c r="H10" s="4">
        <v>1933</v>
      </c>
      <c r="I10" s="4"/>
      <c r="J10" s="4">
        <v>1907</v>
      </c>
      <c r="K10" s="4">
        <v>1961</v>
      </c>
      <c r="L10" s="4"/>
      <c r="M10" s="4">
        <v>1930</v>
      </c>
      <c r="N10" s="4">
        <v>1934</v>
      </c>
      <c r="O10" s="4">
        <v>1987</v>
      </c>
      <c r="P10" s="4"/>
      <c r="Q10" s="4"/>
    </row>
    <row r="11" spans="1:17" x14ac:dyDescent="0.4">
      <c r="A11" s="2" t="s">
        <v>162</v>
      </c>
      <c r="B11" s="2" t="s">
        <v>28</v>
      </c>
      <c r="C11" s="2" t="s">
        <v>154</v>
      </c>
      <c r="D11" s="4">
        <v>2216</v>
      </c>
      <c r="E11" s="4"/>
      <c r="F11" s="4">
        <v>2219</v>
      </c>
      <c r="G11" s="4">
        <v>2207</v>
      </c>
      <c r="H11" s="4">
        <v>2218</v>
      </c>
      <c r="I11" s="4"/>
      <c r="J11" s="4">
        <v>2213</v>
      </c>
      <c r="K11" s="4">
        <v>2219</v>
      </c>
      <c r="L11" s="4"/>
      <c r="M11" s="4">
        <v>2208</v>
      </c>
      <c r="N11" s="4">
        <v>2210</v>
      </c>
      <c r="O11" s="4">
        <v>2226</v>
      </c>
      <c r="P11" s="4"/>
      <c r="Q11" s="4"/>
    </row>
    <row r="12" spans="1:17" x14ac:dyDescent="0.4">
      <c r="A12" s="2" t="s">
        <v>163</v>
      </c>
      <c r="B12" s="2" t="s">
        <v>28</v>
      </c>
      <c r="C12" s="2" t="s">
        <v>154</v>
      </c>
      <c r="D12" s="4">
        <v>2010</v>
      </c>
      <c r="E12" s="4"/>
      <c r="F12" s="4">
        <v>2014</v>
      </c>
      <c r="G12" s="4">
        <v>2007</v>
      </c>
      <c r="H12" s="4">
        <v>2013</v>
      </c>
      <c r="I12" s="4"/>
      <c r="J12" s="4">
        <v>2012</v>
      </c>
      <c r="K12" s="4">
        <v>2011</v>
      </c>
      <c r="L12" s="4"/>
      <c r="M12" s="4">
        <v>2009</v>
      </c>
      <c r="N12" s="4">
        <v>2013</v>
      </c>
      <c r="O12" s="4">
        <v>2016</v>
      </c>
      <c r="P12" s="4"/>
      <c r="Q12" s="4"/>
    </row>
    <row r="13" spans="1:17" x14ac:dyDescent="0.4">
      <c r="A13" s="2" t="s">
        <v>164</v>
      </c>
      <c r="B13" s="2" t="s">
        <v>28</v>
      </c>
      <c r="C13" s="2" t="s">
        <v>154</v>
      </c>
      <c r="D13" s="4">
        <v>2209</v>
      </c>
      <c r="E13" s="4"/>
      <c r="F13" s="4">
        <v>2214</v>
      </c>
      <c r="G13" s="4">
        <v>2209</v>
      </c>
      <c r="H13" s="4">
        <v>2214</v>
      </c>
      <c r="I13" s="4"/>
      <c r="J13" s="4">
        <v>2211</v>
      </c>
      <c r="K13" s="4">
        <v>2216</v>
      </c>
      <c r="L13" s="4"/>
      <c r="M13" s="4">
        <v>2209</v>
      </c>
      <c r="N13" s="4">
        <v>2214</v>
      </c>
      <c r="O13" s="4">
        <v>2229</v>
      </c>
      <c r="P13" s="4"/>
      <c r="Q13" s="4"/>
    </row>
    <row r="14" spans="1:17" x14ac:dyDescent="0.4">
      <c r="A14" s="2" t="s">
        <v>165</v>
      </c>
      <c r="B14" s="2" t="s">
        <v>28</v>
      </c>
      <c r="C14" s="2" t="s">
        <v>154</v>
      </c>
      <c r="D14" s="4">
        <v>2007</v>
      </c>
      <c r="E14" s="4"/>
      <c r="F14" s="4">
        <v>2012</v>
      </c>
      <c r="G14" s="4">
        <v>2007</v>
      </c>
      <c r="H14" s="4">
        <v>2008</v>
      </c>
      <c r="I14" s="4"/>
      <c r="J14" s="4">
        <v>2013</v>
      </c>
      <c r="K14" s="4">
        <v>2013</v>
      </c>
      <c r="L14" s="4"/>
      <c r="M14" s="4">
        <v>2011</v>
      </c>
      <c r="N14" s="4">
        <v>2017</v>
      </c>
      <c r="O14" s="4">
        <v>2018</v>
      </c>
      <c r="P14" s="4"/>
      <c r="Q14" s="4"/>
    </row>
    <row r="15" spans="1:17" x14ac:dyDescent="0.4">
      <c r="A15" s="2" t="s">
        <v>167</v>
      </c>
      <c r="B15" s="2" t="s">
        <v>180</v>
      </c>
      <c r="C15" s="2" t="s">
        <v>181</v>
      </c>
      <c r="D15" s="4">
        <v>4382</v>
      </c>
      <c r="E15" s="4"/>
      <c r="F15" s="4">
        <v>4347</v>
      </c>
      <c r="G15" s="4">
        <v>4382</v>
      </c>
      <c r="H15" s="4">
        <v>4382</v>
      </c>
      <c r="I15" s="4"/>
      <c r="J15" s="4">
        <v>4382</v>
      </c>
      <c r="K15" s="4">
        <v>4382</v>
      </c>
      <c r="L15" s="4"/>
      <c r="M15" s="4">
        <v>4403</v>
      </c>
      <c r="N15" s="4">
        <v>4382</v>
      </c>
      <c r="O15" s="4">
        <v>4382</v>
      </c>
      <c r="P15" s="4"/>
      <c r="Q15" s="4"/>
    </row>
    <row r="16" spans="1:17" x14ac:dyDescent="0.4">
      <c r="A16" s="2" t="s">
        <v>168</v>
      </c>
      <c r="B16" s="2" t="s">
        <v>182</v>
      </c>
      <c r="C16" s="2" t="s">
        <v>181</v>
      </c>
      <c r="D16" s="4">
        <v>4079</v>
      </c>
      <c r="E16" s="4"/>
      <c r="F16" s="4">
        <v>4037</v>
      </c>
      <c r="G16" s="4">
        <v>4079</v>
      </c>
      <c r="H16" s="4">
        <v>4079</v>
      </c>
      <c r="I16" s="4"/>
      <c r="J16" s="4">
        <v>4079</v>
      </c>
      <c r="K16" s="4">
        <v>4079</v>
      </c>
      <c r="L16" s="4"/>
      <c r="M16" s="4">
        <v>4079</v>
      </c>
      <c r="N16" s="4">
        <v>4080</v>
      </c>
      <c r="O16" s="4"/>
      <c r="P16" s="4"/>
      <c r="Q16" s="4"/>
    </row>
    <row r="17" spans="1:17" x14ac:dyDescent="0.4">
      <c r="A17" s="2" t="s">
        <v>169</v>
      </c>
      <c r="B17" s="2" t="s">
        <v>179</v>
      </c>
      <c r="C17" s="2" t="s">
        <v>181</v>
      </c>
      <c r="D17" s="4">
        <v>4382</v>
      </c>
      <c r="E17" s="4"/>
      <c r="F17" s="4">
        <v>4343</v>
      </c>
      <c r="G17" s="4">
        <v>4382</v>
      </c>
      <c r="H17" s="4">
        <v>4382</v>
      </c>
      <c r="I17" s="4"/>
      <c r="J17" s="4">
        <v>4382</v>
      </c>
      <c r="K17" s="4">
        <v>4382</v>
      </c>
      <c r="L17" s="4"/>
      <c r="M17" s="4">
        <v>4382</v>
      </c>
      <c r="N17" s="4"/>
      <c r="O17" s="4">
        <v>4382</v>
      </c>
      <c r="P17" s="4"/>
      <c r="Q17" s="4"/>
    </row>
    <row r="18" spans="1:17" x14ac:dyDescent="0.4">
      <c r="A18" s="2" t="s">
        <v>170</v>
      </c>
      <c r="B18" s="2" t="s">
        <v>179</v>
      </c>
      <c r="C18" s="2" t="s">
        <v>181</v>
      </c>
      <c r="D18" s="4">
        <v>4079</v>
      </c>
      <c r="E18" s="4"/>
      <c r="F18" s="4">
        <v>4033</v>
      </c>
      <c r="G18" s="4">
        <v>4079</v>
      </c>
      <c r="H18" s="4">
        <v>4079</v>
      </c>
      <c r="I18" s="4"/>
      <c r="J18" s="4">
        <v>4079</v>
      </c>
      <c r="K18" s="4">
        <v>4079</v>
      </c>
      <c r="L18" s="4"/>
      <c r="M18" s="4">
        <v>4079</v>
      </c>
      <c r="N18" s="4">
        <v>4080</v>
      </c>
      <c r="O18" s="4"/>
      <c r="P18" s="4"/>
      <c r="Q18" s="4"/>
    </row>
    <row r="19" spans="1:17" x14ac:dyDescent="0.4">
      <c r="A19" s="2" t="s">
        <v>171</v>
      </c>
      <c r="B19" s="2" t="s">
        <v>179</v>
      </c>
      <c r="C19" s="2" t="s">
        <v>181</v>
      </c>
      <c r="D19" s="4"/>
      <c r="E19" s="4"/>
      <c r="F19" s="4">
        <v>4330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4">
      <c r="A20" s="2" t="s">
        <v>172</v>
      </c>
      <c r="B20" s="2" t="s">
        <v>179</v>
      </c>
      <c r="C20" s="2" t="s">
        <v>181</v>
      </c>
      <c r="D20" s="4"/>
      <c r="E20" s="4"/>
      <c r="F20" s="4">
        <v>4028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4">
      <c r="A21" s="2" t="s">
        <v>173</v>
      </c>
      <c r="B21" s="2" t="s">
        <v>179</v>
      </c>
      <c r="C21" s="2" t="s">
        <v>181</v>
      </c>
      <c r="D21" s="4">
        <v>4300</v>
      </c>
      <c r="E21" s="4"/>
      <c r="F21" s="4">
        <v>4300</v>
      </c>
      <c r="G21" s="4">
        <v>4300</v>
      </c>
      <c r="H21" s="4">
        <v>4300</v>
      </c>
      <c r="I21" s="4"/>
      <c r="J21" s="4">
        <v>4300</v>
      </c>
      <c r="K21" s="4">
        <v>4300</v>
      </c>
      <c r="L21" s="4"/>
      <c r="M21" s="4">
        <v>4300</v>
      </c>
      <c r="N21" s="4">
        <v>4300</v>
      </c>
      <c r="O21" s="4">
        <v>4300</v>
      </c>
      <c r="P21" s="4"/>
      <c r="Q21" s="4"/>
    </row>
    <row r="22" spans="1:17" x14ac:dyDescent="0.4">
      <c r="A22" s="2" t="s">
        <v>174</v>
      </c>
      <c r="B22" s="2" t="s">
        <v>179</v>
      </c>
      <c r="C22" s="2" t="s">
        <v>181</v>
      </c>
      <c r="D22" s="4">
        <v>4000</v>
      </c>
      <c r="E22" s="4"/>
      <c r="F22" s="4">
        <v>4000</v>
      </c>
      <c r="G22" s="4">
        <v>4000</v>
      </c>
      <c r="H22" s="4">
        <v>4000</v>
      </c>
      <c r="I22" s="4"/>
      <c r="J22" s="4">
        <v>4000</v>
      </c>
      <c r="K22" s="4">
        <v>4000</v>
      </c>
      <c r="L22" s="4"/>
      <c r="M22" s="4">
        <v>4000</v>
      </c>
      <c r="N22" s="4">
        <v>4000</v>
      </c>
      <c r="O22" s="4">
        <v>4000</v>
      </c>
      <c r="P22" s="4"/>
      <c r="Q22" s="4"/>
    </row>
    <row r="23" spans="1:17" x14ac:dyDescent="0.4">
      <c r="A23" s="2" t="s">
        <v>175</v>
      </c>
      <c r="B23" s="2" t="s">
        <v>179</v>
      </c>
      <c r="C23" s="2" t="s">
        <v>181</v>
      </c>
      <c r="D23" s="4">
        <v>4300</v>
      </c>
      <c r="E23" s="4"/>
      <c r="F23" s="4">
        <v>4300</v>
      </c>
      <c r="G23" s="4">
        <v>4300</v>
      </c>
      <c r="H23" s="4">
        <v>4300</v>
      </c>
      <c r="I23" s="4"/>
      <c r="J23" s="4">
        <v>4300</v>
      </c>
      <c r="K23" s="4">
        <v>4300</v>
      </c>
      <c r="L23" s="4"/>
      <c r="M23" s="4">
        <v>4300</v>
      </c>
      <c r="N23" s="4">
        <v>4300</v>
      </c>
      <c r="O23" s="4">
        <v>4300</v>
      </c>
      <c r="P23" s="4"/>
      <c r="Q23" s="4"/>
    </row>
    <row r="24" spans="1:17" x14ac:dyDescent="0.4">
      <c r="A24" s="2" t="s">
        <v>176</v>
      </c>
      <c r="B24" s="2" t="s">
        <v>179</v>
      </c>
      <c r="C24" s="2" t="s">
        <v>181</v>
      </c>
      <c r="D24" s="4">
        <v>4000</v>
      </c>
      <c r="E24" s="4"/>
      <c r="F24" s="4">
        <v>4000</v>
      </c>
      <c r="G24" s="4">
        <v>4000</v>
      </c>
      <c r="H24" s="4">
        <v>4000</v>
      </c>
      <c r="I24" s="4"/>
      <c r="J24" s="4">
        <v>4000</v>
      </c>
      <c r="K24" s="4">
        <v>4000</v>
      </c>
      <c r="L24" s="4"/>
      <c r="M24" s="4">
        <v>4000</v>
      </c>
      <c r="N24" s="4">
        <v>4000</v>
      </c>
      <c r="O24" s="4">
        <v>4000</v>
      </c>
      <c r="P24" s="4"/>
      <c r="Q24" s="4"/>
    </row>
    <row r="25" spans="1:17" x14ac:dyDescent="0.4">
      <c r="A25" s="2" t="s">
        <v>177</v>
      </c>
      <c r="B25" s="2" t="s">
        <v>179</v>
      </c>
      <c r="C25" s="2" t="s">
        <v>181</v>
      </c>
      <c r="D25" s="4">
        <v>4300</v>
      </c>
      <c r="E25" s="4"/>
      <c r="F25" s="4">
        <v>4300</v>
      </c>
      <c r="G25" s="4">
        <v>4300</v>
      </c>
      <c r="H25" s="4">
        <v>4300</v>
      </c>
      <c r="I25" s="4"/>
      <c r="J25" s="4">
        <v>4300</v>
      </c>
      <c r="K25" s="4">
        <v>4300</v>
      </c>
      <c r="L25" s="4"/>
      <c r="M25" s="4">
        <v>4300</v>
      </c>
      <c r="N25" s="4">
        <v>4300</v>
      </c>
      <c r="O25" s="4">
        <v>4300</v>
      </c>
      <c r="P25" s="4"/>
      <c r="Q25" s="4"/>
    </row>
    <row r="26" spans="1:17" x14ac:dyDescent="0.4">
      <c r="A26" s="2" t="s">
        <v>178</v>
      </c>
      <c r="B26" s="2" t="s">
        <v>179</v>
      </c>
      <c r="C26" s="2" t="s">
        <v>181</v>
      </c>
      <c r="D26" s="4">
        <v>4000</v>
      </c>
      <c r="E26" s="4"/>
      <c r="F26" s="4">
        <v>4000</v>
      </c>
      <c r="G26" s="4">
        <v>4000</v>
      </c>
      <c r="H26" s="4">
        <v>4000</v>
      </c>
      <c r="I26" s="4"/>
      <c r="J26" s="4">
        <v>4000</v>
      </c>
      <c r="K26" s="4">
        <v>4000</v>
      </c>
      <c r="L26" s="4"/>
      <c r="M26" s="4">
        <v>4000</v>
      </c>
      <c r="N26" s="4">
        <v>4000</v>
      </c>
      <c r="O26" s="4">
        <v>4000</v>
      </c>
      <c r="P26" s="4"/>
      <c r="Q26" s="4"/>
    </row>
    <row r="27" spans="1:17" x14ac:dyDescent="0.4">
      <c r="A27" s="2" t="s">
        <v>189</v>
      </c>
      <c r="B27" s="2" t="s">
        <v>190</v>
      </c>
      <c r="C27" s="2" t="s">
        <v>191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1600</v>
      </c>
      <c r="P27" s="4"/>
      <c r="Q27" s="4"/>
    </row>
    <row r="28" spans="1:17" x14ac:dyDescent="0.4">
      <c r="A28" s="2" t="s">
        <v>183</v>
      </c>
      <c r="B28" s="2" t="s">
        <v>184</v>
      </c>
      <c r="C28" s="2" t="s">
        <v>185</v>
      </c>
      <c r="D28" s="4">
        <v>2623</v>
      </c>
      <c r="E28" s="4"/>
      <c r="F28" s="4"/>
      <c r="G28" s="4">
        <v>2651</v>
      </c>
      <c r="H28" s="4">
        <v>2650</v>
      </c>
      <c r="I28" s="4"/>
      <c r="J28" s="4"/>
      <c r="K28" s="4">
        <v>2651</v>
      </c>
      <c r="L28" s="4"/>
      <c r="M28" s="4">
        <v>2650</v>
      </c>
      <c r="N28" s="4"/>
      <c r="O28" s="4">
        <v>2651</v>
      </c>
      <c r="P28" s="4"/>
      <c r="Q28" s="4"/>
    </row>
    <row r="29" spans="1:17" x14ac:dyDescent="0.4">
      <c r="A29" s="2" t="s">
        <v>186</v>
      </c>
      <c r="B29" s="2" t="s">
        <v>187</v>
      </c>
      <c r="C29" s="2" t="s">
        <v>188</v>
      </c>
      <c r="D29" s="4">
        <v>472</v>
      </c>
      <c r="E29" s="4"/>
      <c r="F29" s="4">
        <v>472</v>
      </c>
      <c r="G29" s="4">
        <v>472</v>
      </c>
      <c r="H29" s="4">
        <v>472</v>
      </c>
      <c r="I29" s="4"/>
      <c r="J29" s="4">
        <v>472</v>
      </c>
      <c r="K29" s="4">
        <v>472</v>
      </c>
      <c r="L29" s="4"/>
      <c r="M29" s="4">
        <v>472</v>
      </c>
      <c r="N29" s="4">
        <v>472</v>
      </c>
      <c r="O29" s="4">
        <v>472</v>
      </c>
      <c r="P29" s="4"/>
      <c r="Q29" s="4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8.75" x14ac:dyDescent="0.4"/>
  <sheetData>
    <row r="1" spans="1:2" x14ac:dyDescent="0.4">
      <c r="A1" s="8" t="s">
        <v>227</v>
      </c>
    </row>
    <row r="2" spans="1:2" x14ac:dyDescent="0.4">
      <c r="B2" t="s">
        <v>229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/>
  </sheetViews>
  <sheetFormatPr defaultRowHeight="18.75" x14ac:dyDescent="0.4"/>
  <sheetData>
    <row r="1" spans="1:18" x14ac:dyDescent="0.4">
      <c r="A1" s="8" t="s">
        <v>126</v>
      </c>
    </row>
    <row r="2" spans="1:18" x14ac:dyDescent="0.4">
      <c r="A2" s="2" t="s">
        <v>0</v>
      </c>
      <c r="B2" s="2" t="s">
        <v>1</v>
      </c>
      <c r="C2" s="2" t="s">
        <v>2</v>
      </c>
      <c r="D2" s="2" t="s">
        <v>133</v>
      </c>
      <c r="E2" s="2" t="s">
        <v>135</v>
      </c>
      <c r="F2" s="2" t="s">
        <v>136</v>
      </c>
      <c r="G2" s="2" t="s">
        <v>137</v>
      </c>
      <c r="H2" s="2" t="s">
        <v>138</v>
      </c>
      <c r="I2" s="2" t="s">
        <v>139</v>
      </c>
      <c r="J2" s="2" t="s">
        <v>140</v>
      </c>
      <c r="K2" s="2" t="s">
        <v>141</v>
      </c>
      <c r="L2" s="2" t="s">
        <v>142</v>
      </c>
      <c r="M2" s="2" t="s">
        <v>143</v>
      </c>
      <c r="N2" s="2" t="s">
        <v>144</v>
      </c>
      <c r="O2" s="2" t="s">
        <v>145</v>
      </c>
      <c r="P2" s="2" t="s">
        <v>146</v>
      </c>
      <c r="Q2" s="2" t="s">
        <v>147</v>
      </c>
    </row>
    <row r="3" spans="1:18" x14ac:dyDescent="0.4">
      <c r="A3" s="2" t="s">
        <v>115</v>
      </c>
      <c r="B3" s="2" t="s">
        <v>127</v>
      </c>
      <c r="C3" s="2" t="s">
        <v>128</v>
      </c>
      <c r="D3" s="4"/>
      <c r="E3" s="4"/>
      <c r="F3" s="4"/>
      <c r="G3" s="4"/>
      <c r="H3" s="4"/>
      <c r="I3" s="4"/>
      <c r="J3" s="4"/>
      <c r="K3" s="4"/>
      <c r="L3" s="4"/>
      <c r="M3" s="4">
        <v>1500</v>
      </c>
      <c r="N3" s="4">
        <v>1500</v>
      </c>
      <c r="O3" s="4"/>
      <c r="P3" s="4">
        <v>1500</v>
      </c>
      <c r="Q3" s="4"/>
      <c r="R3" s="1"/>
    </row>
    <row r="4" spans="1:18" x14ac:dyDescent="0.4">
      <c r="A4" s="2" t="s">
        <v>148</v>
      </c>
      <c r="B4" s="2" t="s">
        <v>28</v>
      </c>
      <c r="C4" s="2" t="s">
        <v>62</v>
      </c>
      <c r="D4" s="4"/>
      <c r="E4" s="4"/>
      <c r="F4" s="4"/>
      <c r="G4" s="4"/>
      <c r="H4" s="4"/>
      <c r="I4" s="4"/>
      <c r="J4" s="4"/>
      <c r="K4" s="4"/>
      <c r="L4" s="4"/>
      <c r="M4" s="4">
        <v>1450</v>
      </c>
      <c r="N4" s="4">
        <v>1433</v>
      </c>
      <c r="O4" s="4"/>
      <c r="P4" s="4"/>
      <c r="Q4" s="4"/>
      <c r="R4" s="1"/>
    </row>
    <row r="5" spans="1:18" x14ac:dyDescent="0.4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いちご</vt:lpstr>
      <vt:lpstr>ナス</vt:lpstr>
      <vt:lpstr>トマト</vt:lpstr>
      <vt:lpstr>メロン</vt:lpstr>
      <vt:lpstr>ニラ</vt:lpstr>
      <vt:lpstr>春菊</vt:lpstr>
      <vt:lpstr>梨</vt:lpstr>
      <vt:lpstr>玉ねぎ</vt:lpstr>
      <vt:lpstr>ブロッコリー</vt:lpstr>
      <vt:lpstr>レタス</vt:lpstr>
      <vt:lpstr>花</vt:lpstr>
      <vt:lpstr>椎茸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営農部一般(009069)</dc:creator>
  <cp:lastModifiedBy>総合企画部一般(004024)</cp:lastModifiedBy>
  <cp:lastPrinted>2021-12-09T23:41:48Z</cp:lastPrinted>
  <dcterms:created xsi:type="dcterms:W3CDTF">2021-11-25T05:40:57Z</dcterms:created>
  <dcterms:modified xsi:type="dcterms:W3CDTF">2021-12-13T05:33:18Z</dcterms:modified>
</cp:coreProperties>
</file>